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15" windowWidth="14220" windowHeight="4095" activeTab="0"/>
  </bookViews>
  <sheets>
    <sheet name="ba710" sheetId="1" r:id="rId1"/>
  </sheets>
  <definedNames/>
  <calcPr fullCalcOnLoad="1"/>
</workbook>
</file>

<file path=xl/sharedStrings.xml><?xml version="1.0" encoding="utf-8"?>
<sst xmlns="http://schemas.openxmlformats.org/spreadsheetml/2006/main" count="2894" uniqueCount="628">
  <si>
    <t>Lfd.nr.</t>
  </si>
  <si>
    <t>SSylms</t>
  </si>
  <si>
    <t>Sas</t>
  </si>
  <si>
    <t>Sahs</t>
  </si>
  <si>
    <t>Samms</t>
  </si>
  <si>
    <t>E-C</t>
  </si>
  <si>
    <t>Sahmms</t>
  </si>
  <si>
    <t>Sahmms-t</t>
  </si>
  <si>
    <t>C-L</t>
  </si>
  <si>
    <t>Baunr</t>
  </si>
  <si>
    <t>Baujahr</t>
  </si>
  <si>
    <t>Bauhof</t>
  </si>
  <si>
    <t>Obs</t>
  </si>
  <si>
    <t>Hbr/rs+ps</t>
  </si>
  <si>
    <t>SSylms 01</t>
  </si>
  <si>
    <t>???  1</t>
  </si>
  <si>
    <t>LHB</t>
  </si>
  <si>
    <t>Erster</t>
  </si>
  <si>
    <t>(37775)</t>
  </si>
  <si>
    <t xml:space="preserve">Lü </t>
  </si>
  <si>
    <t>HL</t>
  </si>
  <si>
    <t>Lüttgens</t>
  </si>
  <si>
    <t>HL 2010</t>
  </si>
  <si>
    <t>????</t>
  </si>
  <si>
    <t>?</t>
  </si>
  <si>
    <t>9.1964</t>
  </si>
  <si>
    <t>Lü</t>
  </si>
  <si>
    <t>LO</t>
  </si>
  <si>
    <t>10.1964</t>
  </si>
  <si>
    <t>2008 2012</t>
  </si>
  <si>
    <t>HL 2009</t>
  </si>
  <si>
    <t>2003/09</t>
  </si>
  <si>
    <t>geschätzt</t>
  </si>
  <si>
    <t>tæret</t>
  </si>
  <si>
    <t>2.1965</t>
  </si>
  <si>
    <t>Letzter</t>
  </si>
  <si>
    <t>(37924)</t>
  </si>
  <si>
    <t>MAN</t>
  </si>
  <si>
    <t>§§ 2009</t>
  </si>
  <si>
    <t>§§ 2008</t>
  </si>
  <si>
    <t>AK HL'2009</t>
  </si>
  <si>
    <t>??  002</t>
  </si>
  <si>
    <t>004</t>
  </si>
  <si>
    <t>007</t>
  </si>
  <si>
    <t>009</t>
  </si>
  <si>
    <t>014</t>
  </si>
  <si>
    <t>017</t>
  </si>
  <si>
    <t>023</t>
  </si>
  <si>
    <t>HL 2007</t>
  </si>
  <si>
    <t>(324?)</t>
  </si>
  <si>
    <t>025</t>
  </si>
  <si>
    <t>HL 2008</t>
  </si>
  <si>
    <t>039</t>
  </si>
  <si>
    <t>049</t>
  </si>
  <si>
    <t>057</t>
  </si>
  <si>
    <t>33 43 4861001</t>
  </si>
  <si>
    <t>(A)</t>
  </si>
  <si>
    <t>(365?)</t>
  </si>
  <si>
    <t>066</t>
  </si>
  <si>
    <t>068</t>
  </si>
  <si>
    <t>069</t>
  </si>
  <si>
    <t>075</t>
  </si>
  <si>
    <t>077</t>
  </si>
  <si>
    <t>081</t>
  </si>
  <si>
    <t>33 43 4861000</t>
  </si>
  <si>
    <t>(B)</t>
  </si>
  <si>
    <t>(411)?</t>
  </si>
  <si>
    <t>(413?)</t>
  </si>
  <si>
    <t>(424?)</t>
  </si>
  <si>
    <t>Prototyp</t>
  </si>
  <si>
    <t>2008 2013</t>
  </si>
  <si>
    <t>(507)</t>
  </si>
  <si>
    <t>Neu/ny</t>
  </si>
  <si>
    <t>x4870892</t>
  </si>
  <si>
    <t>se 34786/75/Graaff</t>
  </si>
  <si>
    <t>AK</t>
  </si>
  <si>
    <t>&lt;&lt; ? &gt;&gt;</t>
  </si>
  <si>
    <t>ex Hbr/rs</t>
  </si>
  <si>
    <t>(608)?</t>
  </si>
  <si>
    <t>(681)?</t>
  </si>
  <si>
    <t>HL:</t>
  </si>
  <si>
    <t>5.1965</t>
  </si>
  <si>
    <t>2011 2012</t>
  </si>
  <si>
    <t>(379?)</t>
  </si>
  <si>
    <t>2004/09</t>
  </si>
  <si>
    <t>(801?)</t>
  </si>
  <si>
    <t>2008 2010</t>
  </si>
  <si>
    <t>1.1966</t>
  </si>
  <si>
    <t>2009 2010</t>
  </si>
  <si>
    <t>2.1966</t>
  </si>
  <si>
    <t>Dg=710</t>
  </si>
  <si>
    <t>4.1966</t>
  </si>
  <si>
    <t>MAN 1965 !!</t>
  </si>
  <si>
    <t>5.1966</t>
  </si>
  <si>
    <t>6.1966</t>
  </si>
  <si>
    <t>8.1968</t>
  </si>
  <si>
    <t>Graaff</t>
  </si>
  <si>
    <t>NWE</t>
  </si>
  <si>
    <t>.Sas 710</t>
  </si>
  <si>
    <t>Dg=710.0</t>
  </si>
  <si>
    <t>26008 (?)</t>
  </si>
  <si>
    <t>xx9xx</t>
  </si>
  <si>
    <t>10.1968</t>
  </si>
  <si>
    <t>26019 (?)</t>
  </si>
  <si>
    <t>26030 (?)</t>
  </si>
  <si>
    <t>xxx3x</t>
  </si>
  <si>
    <t>11.1968</t>
  </si>
  <si>
    <t>1995 2011</t>
  </si>
  <si>
    <t>Zipf</t>
  </si>
  <si>
    <t>2002/09</t>
  </si>
  <si>
    <t>Erster:</t>
  </si>
  <si>
    <t>§§</t>
  </si>
  <si>
    <t>! ! !</t>
  </si>
  <si>
    <t>(1168)</t>
  </si>
  <si>
    <t>480066 !</t>
  </si>
  <si>
    <t>1965(9?)</t>
  </si>
  <si>
    <t>Anton K</t>
  </si>
  <si>
    <t>HL, 2011</t>
  </si>
  <si>
    <t>sidste</t>
  </si>
  <si>
    <t>(373)</t>
  </si>
  <si>
    <t>JGE</t>
  </si>
  <si>
    <t>•Sas 710</t>
  </si>
  <si>
    <t>1.1969</t>
  </si>
  <si>
    <t>2004 2012</t>
  </si>
  <si>
    <t>NWE-JGE</t>
  </si>
  <si>
    <t>pl.mgl.</t>
  </si>
  <si>
    <t>HL 2008/12</t>
  </si>
  <si>
    <t>5.1969</t>
  </si>
  <si>
    <t>8.1969</t>
  </si>
  <si>
    <t>Pl.tæret</t>
  </si>
  <si>
    <t>?(1971)</t>
  </si>
  <si>
    <t>276(32)</t>
  </si>
  <si>
    <t>9.1969</t>
  </si>
  <si>
    <t>&lt;1991</t>
  </si>
  <si>
    <t>10.1969</t>
  </si>
  <si>
    <t>not.x64/54</t>
  </si>
  <si>
    <t>not x5281</t>
  </si>
  <si>
    <t>not xx(5)3</t>
  </si>
  <si>
    <t>11.1969</t>
  </si>
  <si>
    <t>12.1969</t>
  </si>
  <si>
    <t>(1864?)</t>
  </si>
  <si>
    <t>not 2x2x5</t>
  </si>
  <si>
    <t>1.1970</t>
  </si>
  <si>
    <t>29(7x6)</t>
  </si>
  <si>
    <t>NWE-Graaff</t>
  </si>
  <si>
    <t>2987(5)</t>
  </si>
  <si>
    <t>2.1970</t>
  </si>
  <si>
    <t>(12462)</t>
  </si>
  <si>
    <t>2010 2020</t>
  </si>
  <si>
    <t>3(919)9</t>
  </si>
  <si>
    <t>HL:29001</t>
  </si>
  <si>
    <t>NWF</t>
  </si>
  <si>
    <t>3.1970</t>
  </si>
  <si>
    <t>pl.tæret</t>
  </si>
  <si>
    <t>xxx2x</t>
  </si>
  <si>
    <t>pl ej tæret</t>
  </si>
  <si>
    <t>4.1970</t>
  </si>
  <si>
    <t>2007-08</t>
  </si>
  <si>
    <t>?1972</t>
  </si>
  <si>
    <t>2.1972</t>
  </si>
  <si>
    <t>3.1972</t>
  </si>
  <si>
    <t>6.1972</t>
  </si>
  <si>
    <t>7.1972</t>
  </si>
  <si>
    <t>8.1972</t>
  </si>
  <si>
    <t>ak</t>
  </si>
  <si>
    <t>6.1973</t>
  </si>
  <si>
    <t>Hbr</t>
  </si>
  <si>
    <t>101</t>
  </si>
  <si>
    <t>11.1973</t>
  </si>
  <si>
    <t>12.1973</t>
  </si>
  <si>
    <t>H.L.</t>
  </si>
  <si>
    <t>Graaff 101</t>
  </si>
  <si>
    <t>1.1974</t>
  </si>
  <si>
    <t>2.1974</t>
  </si>
  <si>
    <t>3.1974</t>
  </si>
  <si>
    <t>711</t>
  </si>
  <si>
    <t>28 Wg'74</t>
  </si>
  <si>
    <t>Hbr/ps</t>
  </si>
  <si>
    <t>Talbot</t>
  </si>
  <si>
    <t>Dg: BA711</t>
  </si>
  <si>
    <t>Letzter dieser Reihe</t>
  </si>
  <si>
    <t>710</t>
  </si>
  <si>
    <t>Alle: Hbr</t>
  </si>
  <si>
    <t>4.1974</t>
  </si>
  <si>
    <t>•Sahs 710</t>
  </si>
  <si>
    <t>Sahmms-t 710</t>
  </si>
  <si>
    <t>5.1974</t>
  </si>
  <si>
    <t>PTN 2017:</t>
  </si>
  <si>
    <t>1972 Grf.</t>
  </si>
  <si>
    <t>8.1974</t>
  </si>
  <si>
    <t>710.1</t>
  </si>
  <si>
    <t>ak + HL</t>
  </si>
  <si>
    <t>9.1974</t>
  </si>
  <si>
    <t>10.1974</t>
  </si>
  <si>
    <t>11.1974</t>
  </si>
  <si>
    <t>12.1974</t>
  </si>
  <si>
    <t>1.1975</t>
  </si>
  <si>
    <t>Jaap</t>
  </si>
  <si>
    <t>Letzte dieser Reihe</t>
  </si>
  <si>
    <t>(155218)</t>
  </si>
  <si>
    <t>?(057)</t>
  </si>
  <si>
    <t>7.1974</t>
  </si>
  <si>
    <t>2004 2008</t>
  </si>
  <si>
    <t>GC</t>
  </si>
  <si>
    <t>2006 2009</t>
  </si>
  <si>
    <t>2006.2008</t>
  </si>
  <si>
    <t>3.1975</t>
  </si>
  <si>
    <t>2008 2020</t>
  </si>
  <si>
    <t>(155417)</t>
  </si>
  <si>
    <t>MAN?</t>
  </si>
  <si>
    <t>første</t>
  </si>
  <si>
    <t>(33580)</t>
  </si>
  <si>
    <t>HL ak</t>
  </si>
  <si>
    <t>2.1975</t>
  </si>
  <si>
    <t>Graaff-101</t>
  </si>
  <si>
    <t>Graaff Elze/L</t>
  </si>
  <si>
    <t>Dg=710.1</t>
  </si>
  <si>
    <t>2009 2012</t>
  </si>
  <si>
    <t>4.1975</t>
  </si>
  <si>
    <t>(33679)</t>
  </si>
  <si>
    <t>(01)</t>
  </si>
  <si>
    <t>04</t>
  </si>
  <si>
    <t>2006 2012</t>
  </si>
  <si>
    <t>07</t>
  </si>
  <si>
    <t>2005 2012</t>
  </si>
  <si>
    <t>2006 10 12</t>
  </si>
  <si>
    <t>2006 2010</t>
  </si>
  <si>
    <t xml:space="preserve">LHB </t>
  </si>
  <si>
    <t>?+2011</t>
  </si>
  <si>
    <t>(250)</t>
  </si>
  <si>
    <t>Sahs 710</t>
  </si>
  <si>
    <t>11.1975</t>
  </si>
  <si>
    <t>1.1976</t>
  </si>
  <si>
    <t>(34843)</t>
  </si>
  <si>
    <t>HL + 2009</t>
  </si>
  <si>
    <t>(34844)</t>
  </si>
  <si>
    <t>5.1975</t>
  </si>
  <si>
    <t>2003/2008</t>
  </si>
  <si>
    <t>6.1975</t>
  </si>
  <si>
    <t>6,1975</t>
  </si>
  <si>
    <t>7.1975</t>
  </si>
  <si>
    <t>8.1975</t>
  </si>
  <si>
    <t>3.1976</t>
  </si>
  <si>
    <t>4.1976</t>
  </si>
  <si>
    <t>5.1976</t>
  </si>
  <si>
    <t>1976</t>
  </si>
  <si>
    <t>6.1976</t>
  </si>
  <si>
    <t>2.1976</t>
  </si>
  <si>
    <t>7.1976</t>
  </si>
  <si>
    <t>101 (G)</t>
  </si>
  <si>
    <t>8.1976</t>
  </si>
  <si>
    <t>2003 2010</t>
  </si>
  <si>
    <t>(35823)</t>
  </si>
  <si>
    <t>(251)</t>
  </si>
  <si>
    <t>(910?)</t>
  </si>
  <si>
    <t>(914?)</t>
  </si>
  <si>
    <t>(919?)</t>
  </si>
  <si>
    <t>(330)</t>
  </si>
  <si>
    <t>(35824)</t>
  </si>
  <si>
    <t>2006/09</t>
  </si>
  <si>
    <t>9.1976</t>
  </si>
  <si>
    <t>10.1976</t>
  </si>
  <si>
    <t>2010 2012</t>
  </si>
  <si>
    <t>11.1976</t>
  </si>
  <si>
    <t>2004 10 12</t>
  </si>
  <si>
    <t>12.1976</t>
  </si>
  <si>
    <t>(35943)</t>
  </si>
  <si>
    <t>(4853180)</t>
  </si>
  <si>
    <t>199? 2012</t>
  </si>
  <si>
    <t>2003 2012</t>
  </si>
  <si>
    <t>(3155?)</t>
  </si>
  <si>
    <t>2012 2020</t>
  </si>
  <si>
    <t>Max.Nr.</t>
  </si>
  <si>
    <t>(909)</t>
  </si>
  <si>
    <t>?(410)</t>
  </si>
  <si>
    <t>01</t>
  </si>
  <si>
    <t>(4099?)</t>
  </si>
  <si>
    <t>(000?)</t>
  </si>
  <si>
    <t>6.1978</t>
  </si>
  <si>
    <t>7.1978</t>
  </si>
  <si>
    <t>8.1978</t>
  </si>
  <si>
    <t>709</t>
  </si>
  <si>
    <t>Dg=711.5</t>
  </si>
  <si>
    <t>9.1978</t>
  </si>
  <si>
    <t>Graaf</t>
  </si>
  <si>
    <t>10.1978</t>
  </si>
  <si>
    <t>2006 2011</t>
  </si>
  <si>
    <t>11.1978</t>
  </si>
  <si>
    <t>12.1978</t>
  </si>
  <si>
    <t xml:space="preserve">Graaff </t>
  </si>
  <si>
    <t>(4298)</t>
  </si>
  <si>
    <t>(0199)</t>
  </si>
  <si>
    <t>(5199)</t>
  </si>
  <si>
    <t>?(36304)</t>
  </si>
  <si>
    <t>2.1977</t>
  </si>
  <si>
    <t>1.1977</t>
  </si>
  <si>
    <t>3.1977</t>
  </si>
  <si>
    <t>1986 2009</t>
  </si>
  <si>
    <t>??</t>
  </si>
  <si>
    <t>4.1977</t>
  </si>
  <si>
    <t>5.1977</t>
  </si>
  <si>
    <t>1997 2009</t>
  </si>
  <si>
    <t>Graaff-Elze</t>
  </si>
  <si>
    <t>6.1977</t>
  </si>
  <si>
    <t>1993 2009</t>
  </si>
  <si>
    <t>7.1977</t>
  </si>
  <si>
    <t>8.1977</t>
  </si>
  <si>
    <t>9.1977</t>
  </si>
  <si>
    <t>10.1977</t>
  </si>
  <si>
    <t>2008 2011</t>
  </si>
  <si>
    <t>2008 2016</t>
  </si>
  <si>
    <t>11.1977</t>
  </si>
  <si>
    <t>!! (5435?)</t>
  </si>
  <si>
    <t>12.1977</t>
  </si>
  <si>
    <t>2007 2020</t>
  </si>
  <si>
    <t>1.1978</t>
  </si>
  <si>
    <t>2.1978</t>
  </si>
  <si>
    <t>3.1978</t>
  </si>
  <si>
    <t>4.1978</t>
  </si>
  <si>
    <t>2012 2016</t>
  </si>
  <si>
    <t>5.1978</t>
  </si>
  <si>
    <t>?(638)</t>
  </si>
  <si>
    <t>?(539)</t>
  </si>
  <si>
    <t>?(639)</t>
  </si>
  <si>
    <t>?(540)</t>
  </si>
  <si>
    <t>(411)</t>
  </si>
  <si>
    <t>?(646)</t>
  </si>
  <si>
    <t>?(663)</t>
  </si>
  <si>
    <t>2006 2014</t>
  </si>
  <si>
    <t>BA709</t>
  </si>
  <si>
    <t>Mail 2009</t>
  </si>
  <si>
    <t>?(794)</t>
  </si>
  <si>
    <t>1997+2008</t>
  </si>
  <si>
    <t>1995+2008</t>
  </si>
  <si>
    <t>2005 2016</t>
  </si>
  <si>
    <t>2001 2010</t>
  </si>
  <si>
    <t>(986?)</t>
  </si>
  <si>
    <t>125 Wg.</t>
  </si>
  <si>
    <t>(4869000)</t>
  </si>
  <si>
    <t>schwarz</t>
  </si>
  <si>
    <t>(1916)</t>
  </si>
  <si>
    <t>?(000)</t>
  </si>
  <si>
    <t>?(-450)</t>
  </si>
  <si>
    <t>EBA00</t>
  </si>
  <si>
    <t>B14A004</t>
  </si>
  <si>
    <t>EBA004</t>
  </si>
  <si>
    <t>B14A010</t>
  </si>
  <si>
    <t>EBA010</t>
  </si>
  <si>
    <t>5.1981</t>
  </si>
  <si>
    <t>B14A003</t>
  </si>
  <si>
    <t>EBA003</t>
  </si>
  <si>
    <t>6.1981</t>
  </si>
  <si>
    <t>7.1981</t>
  </si>
  <si>
    <t>8.1981</t>
  </si>
  <si>
    <t>9.1981</t>
  </si>
  <si>
    <t>Ub.6/2005</t>
  </si>
  <si>
    <t>Lzt.Wg</t>
  </si>
  <si>
    <t>?(-549)</t>
  </si>
  <si>
    <t>B14A007</t>
  </si>
  <si>
    <t>EBA007</t>
  </si>
  <si>
    <t>EBA013</t>
  </si>
  <si>
    <t>B14A045</t>
  </si>
  <si>
    <t>EBA045</t>
  </si>
  <si>
    <t>4.1983</t>
  </si>
  <si>
    <t>B14A074</t>
  </si>
  <si>
    <t>EBA074</t>
  </si>
  <si>
    <t>5.1983</t>
  </si>
  <si>
    <t>B14A031</t>
  </si>
  <si>
    <t>EBA031</t>
  </si>
  <si>
    <t>2005.2008</t>
  </si>
  <si>
    <t>6.1983</t>
  </si>
  <si>
    <t>B14A041</t>
  </si>
  <si>
    <t>EBA041</t>
  </si>
  <si>
    <t>not 40686</t>
  </si>
  <si>
    <t>7.1983</t>
  </si>
  <si>
    <t>B14A021</t>
  </si>
  <si>
    <t>EBA021</t>
  </si>
  <si>
    <t>B14A075</t>
  </si>
  <si>
    <t>EBA075</t>
  </si>
  <si>
    <t>8.1983</t>
  </si>
  <si>
    <t>B14A049</t>
  </si>
  <si>
    <t>EBA049</t>
  </si>
  <si>
    <t>B14A047</t>
  </si>
  <si>
    <t>EBA047</t>
  </si>
  <si>
    <t>B14A77</t>
  </si>
  <si>
    <t>???</t>
  </si>
  <si>
    <t>EBA077</t>
  </si>
  <si>
    <t>9.1983</t>
  </si>
  <si>
    <t>2007 2010</t>
  </si>
  <si>
    <t>12.1983</t>
  </si>
  <si>
    <t>?(-697)</t>
  </si>
  <si>
    <t>B14A073</t>
  </si>
  <si>
    <t>EBA073</t>
  </si>
  <si>
    <t>2010 2016</t>
  </si>
  <si>
    <t>1.1984</t>
  </si>
  <si>
    <t>1997.2008</t>
  </si>
  <si>
    <t>B14A040</t>
  </si>
  <si>
    <t>EBA040</t>
  </si>
  <si>
    <t>B14A033</t>
  </si>
  <si>
    <t>EBA033</t>
  </si>
  <si>
    <t>2.1984</t>
  </si>
  <si>
    <t>(216)</t>
  </si>
  <si>
    <t>Salmms</t>
  </si>
  <si>
    <t>33-80-[P]</t>
  </si>
  <si>
    <t>-019</t>
  </si>
  <si>
    <t>O&amp;K</t>
  </si>
  <si>
    <t>80 D-HSC</t>
  </si>
  <si>
    <t>G-H</t>
  </si>
  <si>
    <t>H-I</t>
  </si>
  <si>
    <t>O&amp;K-D</t>
  </si>
  <si>
    <t>B14A065</t>
  </si>
  <si>
    <t>EBA065</t>
  </si>
  <si>
    <t>B14A057</t>
  </si>
  <si>
    <t>EBA057</t>
  </si>
  <si>
    <t>(4869730)</t>
  </si>
  <si>
    <t>B14A018</t>
  </si>
  <si>
    <t>EBA018</t>
  </si>
  <si>
    <t>B14A060</t>
  </si>
  <si>
    <t>EBA060</t>
  </si>
  <si>
    <t>not.9779</t>
  </si>
  <si>
    <t>435mm</t>
  </si>
  <si>
    <t>lav gavl</t>
  </si>
  <si>
    <t>8.1984</t>
  </si>
  <si>
    <t>?9799</t>
  </si>
  <si>
    <t>48697??</t>
  </si>
  <si>
    <t>B14A088</t>
  </si>
  <si>
    <t>EBA088</t>
  </si>
  <si>
    <t>9.1984</t>
  </si>
  <si>
    <t>B14A066</t>
  </si>
  <si>
    <t>EBA066</t>
  </si>
  <si>
    <t>198?</t>
  </si>
  <si>
    <t>11.1984</t>
  </si>
  <si>
    <t>B14A054</t>
  </si>
  <si>
    <t>EBA054</t>
  </si>
  <si>
    <t>Bahnhofsw</t>
  </si>
  <si>
    <t>72265-2</t>
  </si>
  <si>
    <t>Bremswg.</t>
  </si>
  <si>
    <t>1.1985</t>
  </si>
  <si>
    <t>obs 1985</t>
  </si>
  <si>
    <t>lave gavle</t>
  </si>
  <si>
    <t>ak 1985</t>
  </si>
  <si>
    <t>52cm gavl</t>
  </si>
  <si>
    <t>8.1985</t>
  </si>
  <si>
    <t>B14A002</t>
  </si>
  <si>
    <t>EBA002</t>
  </si>
  <si>
    <t>9.1985</t>
  </si>
  <si>
    <t>10.1985</t>
  </si>
  <si>
    <t>EBA071</t>
  </si>
  <si>
    <t>FOTO</t>
  </si>
  <si>
    <t>(516)</t>
  </si>
  <si>
    <t>ej Hbr</t>
  </si>
  <si>
    <t>brun</t>
  </si>
  <si>
    <t>10.1986</t>
  </si>
  <si>
    <t>Ub.2005 ?</t>
  </si>
  <si>
    <t>ex rødm.</t>
  </si>
  <si>
    <t>(1986)</t>
  </si>
  <si>
    <t>rødmalede!</t>
  </si>
  <si>
    <t>not. O&amp;K</t>
  </si>
  <si>
    <t xml:space="preserve">ej Hbr </t>
  </si>
  <si>
    <t>?(616)</t>
  </si>
  <si>
    <t>?(999)</t>
  </si>
  <si>
    <t>-001</t>
  </si>
  <si>
    <t>= Sammns</t>
  </si>
  <si>
    <t>-154</t>
  </si>
  <si>
    <t>9.1987</t>
  </si>
  <si>
    <t>Graa</t>
  </si>
  <si>
    <t>BA714</t>
  </si>
  <si>
    <t>10.1992</t>
  </si>
  <si>
    <t>2.1993</t>
  </si>
  <si>
    <t>EBA06H08A009</t>
  </si>
  <si>
    <t>0009</t>
  </si>
  <si>
    <t>17.08.07</t>
  </si>
  <si>
    <t>TVP</t>
  </si>
  <si>
    <t>0058</t>
  </si>
  <si>
    <t>EBA06H08A069</t>
  </si>
  <si>
    <t>0069</t>
  </si>
  <si>
    <t>EBA06H08A111</t>
  </si>
  <si>
    <t>0111</t>
  </si>
  <si>
    <t>17.12.07</t>
  </si>
  <si>
    <t>EBA06H08A112</t>
  </si>
  <si>
    <t>0112</t>
  </si>
  <si>
    <t>18.12.07</t>
  </si>
  <si>
    <t>EBA06H08A117</t>
  </si>
  <si>
    <t>0117</t>
  </si>
  <si>
    <t>02.01.08</t>
  </si>
  <si>
    <t>EBA06H08A136</t>
  </si>
  <si>
    <t>0136</t>
  </si>
  <si>
    <t>23.01.08</t>
  </si>
  <si>
    <t>EBA06H08A137</t>
  </si>
  <si>
    <t>0137</t>
  </si>
  <si>
    <t>25.01.08</t>
  </si>
  <si>
    <t>EBA06H08A139</t>
  </si>
  <si>
    <t>0139</t>
  </si>
  <si>
    <t>28.01.08</t>
  </si>
  <si>
    <t>EBA06H08A142</t>
  </si>
  <si>
    <t>0142</t>
  </si>
  <si>
    <t>29.01.08</t>
  </si>
  <si>
    <t>EBA06H08A159</t>
  </si>
  <si>
    <t>12.02.08</t>
  </si>
  <si>
    <t>EBA06H08A162</t>
  </si>
  <si>
    <t>EBA06H08A174</t>
  </si>
  <si>
    <t>20.02.08</t>
  </si>
  <si>
    <t>EBA06H08A167</t>
  </si>
  <si>
    <t>26.02.08</t>
  </si>
  <si>
    <t>EBA06H08A173</t>
  </si>
  <si>
    <t>28.02.08</t>
  </si>
  <si>
    <t>EBA06H08A175</t>
  </si>
  <si>
    <t>EBA06H08A180</t>
  </si>
  <si>
    <t>07.03.08</t>
  </si>
  <si>
    <t>EBA08B09A002</t>
  </si>
  <si>
    <t>22.04.08</t>
  </si>
  <si>
    <t>EBA08B09A003</t>
  </si>
  <si>
    <t>Hbr ?</t>
  </si>
  <si>
    <t>23.04.08</t>
  </si>
  <si>
    <t>EBA08B09A036</t>
  </si>
  <si>
    <t>27.01.09</t>
  </si>
  <si>
    <t>EBA08B09A059</t>
  </si>
  <si>
    <t>11.06.08</t>
  </si>
  <si>
    <t>EBA08B09A070</t>
  </si>
  <si>
    <t>11.08.08</t>
  </si>
  <si>
    <t>EBA08B09A083</t>
  </si>
  <si>
    <t>09.09.08</t>
  </si>
  <si>
    <t>Dg 714.3</t>
  </si>
  <si>
    <t>EBA08B09A092</t>
  </si>
  <si>
    <t>16.09.08</t>
  </si>
  <si>
    <t>BA489</t>
  </si>
  <si>
    <t>EBA08B09A107</t>
  </si>
  <si>
    <t>13.10.08</t>
  </si>
  <si>
    <t>EBA08B09A120</t>
  </si>
  <si>
    <t>13.11.08</t>
  </si>
  <si>
    <t>EBA08B09A148</t>
  </si>
  <si>
    <t>17.02.09</t>
  </si>
  <si>
    <t>EBA08B09A151</t>
  </si>
  <si>
    <t>18.02.09</t>
  </si>
  <si>
    <t>EBA08B09A160</t>
  </si>
  <si>
    <t>24.02.09</t>
  </si>
  <si>
    <t>EBA08B09A162</t>
  </si>
  <si>
    <t>25.02.09</t>
  </si>
  <si>
    <t>EBA08B097163</t>
  </si>
  <si>
    <t>26.02.09</t>
  </si>
  <si>
    <t>EBA08B09A174</t>
  </si>
  <si>
    <t>10.03.09</t>
  </si>
  <si>
    <t>EBA08B09A180</t>
  </si>
  <si>
    <t>12.03.09</t>
  </si>
  <si>
    <t>EBA08B09A195</t>
  </si>
  <si>
    <t>07.04.09</t>
  </si>
  <si>
    <t>EBA08B09A207</t>
  </si>
  <si>
    <t>31.03.08</t>
  </si>
  <si>
    <t>EBA08B09A208</t>
  </si>
  <si>
    <t>EBA08B09A209</t>
  </si>
  <si>
    <t>07.04.08</t>
  </si>
  <si>
    <t>EBA08B09A222</t>
  </si>
  <si>
    <t>21.04.08</t>
  </si>
  <si>
    <t>EBA08B09A229</t>
  </si>
  <si>
    <t>28.04.08</t>
  </si>
  <si>
    <t>EBA08B09A252</t>
  </si>
  <si>
    <t>23.06.08</t>
  </si>
  <si>
    <t>EBA08B09A263</t>
  </si>
  <si>
    <t>30.06.08</t>
  </si>
  <si>
    <t>EBA08B09A265</t>
  </si>
  <si>
    <t>EBA08B09A266</t>
  </si>
  <si>
    <t>03.07.08</t>
  </si>
  <si>
    <t>EBA08B09A286</t>
  </si>
  <si>
    <t>24.07.08</t>
  </si>
  <si>
    <t>EBA08B09A291</t>
  </si>
  <si>
    <t>21.08.08</t>
  </si>
  <si>
    <t>EBA08B098A299</t>
  </si>
  <si>
    <t>27.08.08</t>
  </si>
  <si>
    <t>EBA08B09A310</t>
  </si>
  <si>
    <t>30.09.08</t>
  </si>
  <si>
    <t>EBA08B09A312</t>
  </si>
  <si>
    <t>26.09.08</t>
  </si>
  <si>
    <t>EBA08B09A315</t>
  </si>
  <si>
    <t>29.09.08</t>
  </si>
  <si>
    <t>EBA08B09A332</t>
  </si>
  <si>
    <t>EBA08B09A345</t>
  </si>
  <si>
    <t>EBA08B09A347</t>
  </si>
  <si>
    <t>EBA08B09A349</t>
  </si>
  <si>
    <t>30.01.09</t>
  </si>
  <si>
    <t>EBA08B09A354</t>
  </si>
  <si>
    <t>EBA08B09A355</t>
  </si>
  <si>
    <t>EBA08B09A356</t>
  </si>
  <si>
    <t>10.02.09</t>
  </si>
  <si>
    <t>EBA08B09A358</t>
  </si>
  <si>
    <t>EBA08B09A359</t>
  </si>
  <si>
    <t>EBA08B09A366</t>
  </si>
  <si>
    <t>16.04.09</t>
  </si>
  <si>
    <t>EBA08B09A367</t>
  </si>
  <si>
    <t>17.04.09</t>
  </si>
  <si>
    <t>EBA08B09A374</t>
  </si>
  <si>
    <t>22.04.09</t>
  </si>
  <si>
    <t>EBA08B09A376</t>
  </si>
  <si>
    <t>23.04.09</t>
  </si>
  <si>
    <t>EBA08B09A378</t>
  </si>
  <si>
    <t>24.04.09</t>
  </si>
  <si>
    <t>EBA08B09A381</t>
  </si>
  <si>
    <t>27.04.09</t>
  </si>
  <si>
    <t>EBA08B09A387</t>
  </si>
  <si>
    <t>EBA08B09A401</t>
  </si>
  <si>
    <t>19.05.09</t>
  </si>
  <si>
    <t>EBA08B09A407</t>
  </si>
  <si>
    <t>28.05.09</t>
  </si>
  <si>
    <t>30.12.11</t>
  </si>
  <si>
    <t>EBA08B09A426</t>
  </si>
  <si>
    <t>31.01.12</t>
  </si>
  <si>
    <t>EBA08B09A432</t>
  </si>
  <si>
    <t>17.02.12</t>
  </si>
  <si>
    <t>EBA08B09A439</t>
  </si>
  <si>
    <t>29.02.12</t>
  </si>
  <si>
    <t>EBA08B09A454</t>
  </si>
  <si>
    <t>3.2012</t>
  </si>
  <si>
    <t>EBA08B09A479</t>
  </si>
  <si>
    <t>18.04.12</t>
  </si>
  <si>
    <t>EBA08B09A491</t>
  </si>
  <si>
    <t>26.04.12</t>
  </si>
  <si>
    <t>EBA08B09A496</t>
  </si>
  <si>
    <t>30.04.12</t>
  </si>
  <si>
    <t>EBA08B09A555</t>
  </si>
  <si>
    <t>28.06.12</t>
  </si>
  <si>
    <t>EBA08B09A567</t>
  </si>
  <si>
    <t>12.07.12</t>
  </si>
  <si>
    <t>BA489.1</t>
  </si>
  <si>
    <t>Dg ??</t>
  </si>
  <si>
    <t>DE5320180022</t>
  </si>
  <si>
    <t>072</t>
  </si>
  <si>
    <t>01.07.19</t>
  </si>
  <si>
    <t>A) 43 GySEV Samms, 2005 =&gt; VPS 5461</t>
  </si>
  <si>
    <t>B) 43 GySEV Samms, =&gt; VPS 5460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</si>
</sst>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" xfId="0" applyBorder="1" applyAlignment="1" quotePrefix="1">
      <alignment horizontal="left"/>
    </xf>
    <xf numFmtId="0" fontId="0" fillId="0" borderId="1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Border="1" applyAlignment="1">
      <alignment/>
    </xf>
    <xf numFmtId="0" fontId="0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2" borderId="0" xfId="0" applyFill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3" fontId="0" fillId="0" borderId="0" xfId="0" applyNumberForma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quotePrefix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Besøgt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26"/>
  <sheetViews>
    <sheetView tabSelected="1" workbookViewId="0" topLeftCell="B1">
      <pane ySplit="1" topLeftCell="BM416" activePane="bottomLeft" state="frozen"/>
      <selection pane="topLeft" activeCell="A1" sqref="A1"/>
      <selection pane="bottomLeft" activeCell="J429" sqref="J429"/>
    </sheetView>
  </sheetViews>
  <sheetFormatPr defaultColWidth="9.140625" defaultRowHeight="12.75"/>
  <cols>
    <col min="4" max="4" width="10.140625" style="0" customWidth="1"/>
    <col min="5" max="5" width="9.8515625" style="0" customWidth="1"/>
    <col min="6" max="6" width="7.28125" style="0" customWidth="1"/>
    <col min="7" max="7" width="9.8515625" style="0" customWidth="1"/>
    <col min="8" max="8" width="9.57421875" style="0" customWidth="1"/>
    <col min="10" max="10" width="10.28125" style="0" customWidth="1"/>
    <col min="11" max="11" width="5.00390625" style="0" customWidth="1"/>
    <col min="12" max="12" width="8.7109375" style="0" customWidth="1"/>
    <col min="13" max="13" width="9.140625" style="1" customWidth="1"/>
    <col min="14" max="14" width="11.7109375" style="0" customWidth="1"/>
    <col min="15" max="15" width="10.140625" style="1" customWidth="1"/>
  </cols>
  <sheetData>
    <row r="1" spans="1:17" s="3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4</v>
      </c>
      <c r="I1" s="3" t="s">
        <v>6</v>
      </c>
      <c r="J1" s="3" t="s">
        <v>7</v>
      </c>
      <c r="K1" s="3" t="s">
        <v>8</v>
      </c>
      <c r="L1" s="3" t="s">
        <v>9</v>
      </c>
      <c r="M1" s="23" t="s">
        <v>10</v>
      </c>
      <c r="N1" s="3" t="s">
        <v>11</v>
      </c>
      <c r="O1" s="257" t="s">
        <v>12</v>
      </c>
      <c r="Q1" s="24"/>
    </row>
    <row r="2" spans="13:17" s="3" customFormat="1" ht="13.5" thickBot="1">
      <c r="M2" s="23"/>
      <c r="O2" s="23"/>
      <c r="Q2" s="24"/>
    </row>
    <row r="3" spans="1:17" s="4" customFormat="1" ht="13.5" thickBot="1">
      <c r="A3" s="4" t="s">
        <v>13</v>
      </c>
      <c r="B3" s="169">
        <v>300</v>
      </c>
      <c r="C3" s="168">
        <v>4850000</v>
      </c>
      <c r="D3" s="169" t="s">
        <v>14</v>
      </c>
      <c r="E3" s="168">
        <v>4861000</v>
      </c>
      <c r="L3" s="168" t="s">
        <v>15</v>
      </c>
      <c r="M3" s="20">
        <v>1963</v>
      </c>
      <c r="N3" s="4" t="s">
        <v>16</v>
      </c>
      <c r="O3" s="20"/>
      <c r="Q3" s="22"/>
    </row>
    <row r="4" spans="1:17" s="12" customFormat="1" ht="12.75">
      <c r="A4" s="12" t="s">
        <v>17</v>
      </c>
      <c r="B4" s="166">
        <v>966000</v>
      </c>
      <c r="C4" s="167">
        <v>4850001</v>
      </c>
      <c r="E4" s="167">
        <v>4861001</v>
      </c>
      <c r="L4" s="155" t="s">
        <v>18</v>
      </c>
      <c r="M4" s="32"/>
      <c r="O4" s="32"/>
      <c r="Q4" s="118"/>
    </row>
    <row r="5" spans="2:17" s="12" customFormat="1" ht="12.75">
      <c r="B5" s="12">
        <v>966003</v>
      </c>
      <c r="C5" s="42">
        <v>4850004</v>
      </c>
      <c r="E5" s="11">
        <v>4861004</v>
      </c>
      <c r="F5" s="12">
        <f>E5-C5</f>
        <v>11000</v>
      </c>
      <c r="M5" s="32">
        <v>1964</v>
      </c>
      <c r="N5" s="12" t="s">
        <v>19</v>
      </c>
      <c r="O5" s="32">
        <v>2008</v>
      </c>
      <c r="Q5" s="118"/>
    </row>
    <row r="6" spans="2:17" s="12" customFormat="1" ht="12.75">
      <c r="B6" s="12">
        <v>966004</v>
      </c>
      <c r="C6" s="42">
        <v>4850005</v>
      </c>
      <c r="D6" s="137">
        <v>4870000</v>
      </c>
      <c r="E6" s="78"/>
      <c r="M6" s="32"/>
      <c r="O6" s="32" t="s">
        <v>20</v>
      </c>
      <c r="Q6" s="118"/>
    </row>
    <row r="7" spans="2:17" s="12" customFormat="1" ht="12.75">
      <c r="B7" s="12">
        <v>966007</v>
      </c>
      <c r="C7" s="42">
        <v>4850008</v>
      </c>
      <c r="D7" s="12">
        <v>4870951</v>
      </c>
      <c r="E7" s="78"/>
      <c r="H7" s="11">
        <v>4864930</v>
      </c>
      <c r="I7" s="11"/>
      <c r="J7" s="11"/>
      <c r="K7" s="12">
        <f>1008-782</f>
        <v>226</v>
      </c>
      <c r="L7" s="137">
        <v>37782</v>
      </c>
      <c r="M7" s="32">
        <v>1964</v>
      </c>
      <c r="N7" s="12" t="s">
        <v>21</v>
      </c>
      <c r="O7" s="32">
        <v>2008</v>
      </c>
      <c r="Q7" s="118"/>
    </row>
    <row r="8" spans="2:17" s="12" customFormat="1" ht="12.75">
      <c r="B8" s="200">
        <v>966011</v>
      </c>
      <c r="C8" s="42">
        <v>4850012</v>
      </c>
      <c r="E8" s="11">
        <v>4861010</v>
      </c>
      <c r="F8" s="12">
        <f>E8-C8</f>
        <v>10998</v>
      </c>
      <c r="H8" s="11"/>
      <c r="I8" s="11"/>
      <c r="J8" s="11"/>
      <c r="L8" s="137"/>
      <c r="M8" s="32">
        <v>1964</v>
      </c>
      <c r="N8" s="200" t="s">
        <v>21</v>
      </c>
      <c r="O8" s="32" t="s">
        <v>22</v>
      </c>
      <c r="Q8" s="118"/>
    </row>
    <row r="9" spans="2:17" s="12" customFormat="1" ht="12.75">
      <c r="B9" s="12">
        <v>966014</v>
      </c>
      <c r="C9" s="42">
        <v>4850015</v>
      </c>
      <c r="D9" s="170" t="s">
        <v>23</v>
      </c>
      <c r="E9" s="78"/>
      <c r="H9" s="11"/>
      <c r="I9" s="11"/>
      <c r="J9" s="11"/>
      <c r="L9" s="137"/>
      <c r="M9" s="32"/>
      <c r="O9" s="32" t="s">
        <v>20</v>
      </c>
      <c r="Q9" s="118"/>
    </row>
    <row r="10" spans="2:17" s="12" customFormat="1" ht="12.75">
      <c r="B10" s="12">
        <v>966032</v>
      </c>
      <c r="C10" s="42">
        <v>4850033</v>
      </c>
      <c r="D10" s="170" t="s">
        <v>23</v>
      </c>
      <c r="E10" s="78"/>
      <c r="H10" s="11"/>
      <c r="I10" s="11"/>
      <c r="J10" s="11"/>
      <c r="L10" s="137"/>
      <c r="M10" s="32"/>
      <c r="O10" s="32" t="s">
        <v>20</v>
      </c>
      <c r="Q10" s="118"/>
    </row>
    <row r="11" spans="2:17" s="12" customFormat="1" ht="12.75">
      <c r="B11" s="12">
        <v>966033</v>
      </c>
      <c r="C11" s="42">
        <v>4850034</v>
      </c>
      <c r="D11" s="12">
        <v>4870448</v>
      </c>
      <c r="E11" s="78"/>
      <c r="H11" s="11">
        <v>4864859</v>
      </c>
      <c r="I11" s="11"/>
      <c r="J11" s="135"/>
      <c r="L11" s="32" t="s">
        <v>24</v>
      </c>
      <c r="M11" s="32">
        <v>1964</v>
      </c>
      <c r="N11" s="12" t="s">
        <v>21</v>
      </c>
      <c r="O11" s="32" t="s">
        <v>20</v>
      </c>
      <c r="Q11" s="118"/>
    </row>
    <row r="12" spans="2:17" s="12" customFormat="1" ht="12.75">
      <c r="B12" s="12">
        <v>966035</v>
      </c>
      <c r="C12" s="42">
        <v>4850036</v>
      </c>
      <c r="D12" s="12">
        <v>4870833</v>
      </c>
      <c r="E12" s="78"/>
      <c r="H12" s="11">
        <v>4864915</v>
      </c>
      <c r="I12" s="11"/>
      <c r="J12" s="11"/>
      <c r="M12" s="42" t="s">
        <v>25</v>
      </c>
      <c r="N12" s="12" t="s">
        <v>26</v>
      </c>
      <c r="O12" s="32">
        <v>2008</v>
      </c>
      <c r="Q12" s="118"/>
    </row>
    <row r="13" spans="2:17" s="12" customFormat="1" ht="12.75">
      <c r="B13" s="12">
        <v>966036</v>
      </c>
      <c r="C13" s="42">
        <v>4850037</v>
      </c>
      <c r="D13" s="170" t="s">
        <v>23</v>
      </c>
      <c r="E13" s="78"/>
      <c r="H13" s="11"/>
      <c r="I13" s="11"/>
      <c r="J13" s="11"/>
      <c r="M13" s="42"/>
      <c r="O13" s="32" t="s">
        <v>20</v>
      </c>
      <c r="Q13" s="118"/>
    </row>
    <row r="14" spans="2:17" s="12" customFormat="1" ht="12.75">
      <c r="B14" s="12">
        <v>966040</v>
      </c>
      <c r="C14" s="42">
        <v>4850041</v>
      </c>
      <c r="E14" s="11">
        <v>4861034</v>
      </c>
      <c r="F14" s="12">
        <f>E14-C14</f>
        <v>10993</v>
      </c>
      <c r="M14" s="32">
        <v>1964</v>
      </c>
      <c r="N14" s="12" t="s">
        <v>27</v>
      </c>
      <c r="O14" s="32">
        <v>2008</v>
      </c>
      <c r="Q14" s="118"/>
    </row>
    <row r="15" spans="3:17" s="12" customFormat="1" ht="12.75">
      <c r="C15" s="42">
        <v>4850051</v>
      </c>
      <c r="D15" s="170" t="s">
        <v>23</v>
      </c>
      <c r="E15" s="78"/>
      <c r="M15" s="32"/>
      <c r="O15" s="32"/>
      <c r="Q15" s="118"/>
    </row>
    <row r="16" spans="2:17" s="12" customFormat="1" ht="12.75">
      <c r="B16" s="12">
        <v>966056</v>
      </c>
      <c r="C16" s="42">
        <v>4850057</v>
      </c>
      <c r="E16" s="11">
        <v>4861049</v>
      </c>
      <c r="F16" s="12">
        <f>E16-C16</f>
        <v>10992</v>
      </c>
      <c r="M16" s="42" t="s">
        <v>28</v>
      </c>
      <c r="N16" s="12" t="s">
        <v>26</v>
      </c>
      <c r="O16" s="32" t="s">
        <v>29</v>
      </c>
      <c r="Q16" s="118"/>
    </row>
    <row r="17" spans="2:17" s="12" customFormat="1" ht="12.75">
      <c r="B17" s="12">
        <v>966067</v>
      </c>
      <c r="C17" s="42">
        <v>4850068</v>
      </c>
      <c r="E17" s="11">
        <v>4861060</v>
      </c>
      <c r="F17" s="12">
        <f>E17-C17</f>
        <v>10992</v>
      </c>
      <c r="K17" s="12">
        <f>1068-842</f>
        <v>226</v>
      </c>
      <c r="L17" s="137">
        <v>37842</v>
      </c>
      <c r="M17" s="32">
        <v>1964</v>
      </c>
      <c r="N17" s="12" t="s">
        <v>21</v>
      </c>
      <c r="O17" s="32">
        <v>2008</v>
      </c>
      <c r="Q17" s="118"/>
    </row>
    <row r="18" spans="2:17" s="12" customFormat="1" ht="12.75">
      <c r="B18" s="12">
        <v>966074</v>
      </c>
      <c r="C18" s="42">
        <v>4850075</v>
      </c>
      <c r="D18" s="12">
        <v>4870368</v>
      </c>
      <c r="E18" s="71"/>
      <c r="H18" s="97">
        <v>4864811</v>
      </c>
      <c r="L18" s="32" t="s">
        <v>24</v>
      </c>
      <c r="M18" s="32">
        <v>1964</v>
      </c>
      <c r="N18" s="12" t="s">
        <v>21</v>
      </c>
      <c r="O18" s="32" t="s">
        <v>30</v>
      </c>
      <c r="Q18" s="118"/>
    </row>
    <row r="19" spans="2:17" s="12" customFormat="1" ht="12.75">
      <c r="B19" s="12">
        <v>966077</v>
      </c>
      <c r="C19" s="42">
        <v>4850078</v>
      </c>
      <c r="E19" s="11">
        <v>4861069</v>
      </c>
      <c r="F19" s="12">
        <f>E19-C19</f>
        <v>10991</v>
      </c>
      <c r="M19" s="32">
        <v>1964</v>
      </c>
      <c r="N19" s="12" t="s">
        <v>26</v>
      </c>
      <c r="O19" s="32">
        <v>2008</v>
      </c>
      <c r="Q19" s="118"/>
    </row>
    <row r="20" spans="3:17" s="12" customFormat="1" ht="12.75">
      <c r="C20" s="42">
        <v>4850081</v>
      </c>
      <c r="D20" s="170" t="s">
        <v>23</v>
      </c>
      <c r="E20" s="71"/>
      <c r="M20" s="32"/>
      <c r="O20" s="32" t="s">
        <v>20</v>
      </c>
      <c r="Q20" s="118"/>
    </row>
    <row r="21" spans="3:17" s="12" customFormat="1" ht="12.75">
      <c r="C21" s="42">
        <v>4850086</v>
      </c>
      <c r="D21" s="170" t="s">
        <v>23</v>
      </c>
      <c r="E21" s="71"/>
      <c r="M21" s="32"/>
      <c r="O21" s="32" t="s">
        <v>20</v>
      </c>
      <c r="Q21" s="118"/>
    </row>
    <row r="22" spans="2:17" s="12" customFormat="1" ht="12.75">
      <c r="B22" s="12">
        <v>966088</v>
      </c>
      <c r="C22" s="42">
        <v>4850089</v>
      </c>
      <c r="D22" s="12">
        <v>4870430</v>
      </c>
      <c r="E22" s="71"/>
      <c r="H22" s="97">
        <v>4864852</v>
      </c>
      <c r="K22" s="12">
        <f>1089-863</f>
        <v>226</v>
      </c>
      <c r="L22" s="137">
        <v>37863</v>
      </c>
      <c r="M22" s="32">
        <v>1964</v>
      </c>
      <c r="N22" s="12" t="s">
        <v>21</v>
      </c>
      <c r="O22" s="32" t="s">
        <v>20</v>
      </c>
      <c r="Q22" s="118"/>
    </row>
    <row r="23" spans="2:15" s="12" customFormat="1" ht="12.75">
      <c r="B23" s="12">
        <v>966101</v>
      </c>
      <c r="C23" s="12">
        <v>4850102</v>
      </c>
      <c r="E23" s="11">
        <v>4861090</v>
      </c>
      <c r="F23" s="12">
        <f>E23-C23</f>
        <v>10988</v>
      </c>
      <c r="M23" s="32">
        <v>1964</v>
      </c>
      <c r="N23" s="12" t="s">
        <v>21</v>
      </c>
      <c r="O23" s="32" t="s">
        <v>31</v>
      </c>
    </row>
    <row r="24" spans="2:15" s="12" customFormat="1" ht="12.75">
      <c r="B24" s="12">
        <v>966102</v>
      </c>
      <c r="C24" s="12">
        <v>4850103</v>
      </c>
      <c r="D24" s="170" t="s">
        <v>23</v>
      </c>
      <c r="E24" s="71"/>
      <c r="M24" s="32"/>
      <c r="O24" s="32" t="s">
        <v>20</v>
      </c>
    </row>
    <row r="25" spans="1:15" s="12" customFormat="1" ht="12.75">
      <c r="A25" s="173" t="s">
        <v>32</v>
      </c>
      <c r="B25" s="12">
        <v>966113</v>
      </c>
      <c r="C25" s="167">
        <v>4850114</v>
      </c>
      <c r="D25" s="32"/>
      <c r="E25" s="11">
        <v>4861101</v>
      </c>
      <c r="F25" s="12">
        <f>4861101-4850114</f>
        <v>10987</v>
      </c>
      <c r="G25" s="163"/>
      <c r="L25" s="32" t="s">
        <v>33</v>
      </c>
      <c r="M25" s="32"/>
      <c r="N25" s="12" t="s">
        <v>21</v>
      </c>
      <c r="O25" s="32">
        <v>2008</v>
      </c>
    </row>
    <row r="26" spans="2:15" s="12" customFormat="1" ht="12.75">
      <c r="B26" s="200">
        <v>966127</v>
      </c>
      <c r="C26" s="42">
        <v>4850128</v>
      </c>
      <c r="D26" s="32"/>
      <c r="E26" s="11">
        <v>4861115</v>
      </c>
      <c r="F26" s="12">
        <f>4861101-4850114</f>
        <v>10987</v>
      </c>
      <c r="L26" s="32"/>
      <c r="M26" s="32"/>
      <c r="O26" s="42">
        <v>1986</v>
      </c>
    </row>
    <row r="27" spans="3:15" s="12" customFormat="1" ht="12.75">
      <c r="C27" s="42">
        <v>4850134</v>
      </c>
      <c r="D27" s="170" t="s">
        <v>23</v>
      </c>
      <c r="E27" s="71"/>
      <c r="L27" s="32"/>
      <c r="M27" s="32"/>
      <c r="O27" s="32" t="s">
        <v>20</v>
      </c>
    </row>
    <row r="28" spans="2:15" s="12" customFormat="1" ht="12.75">
      <c r="B28" s="12">
        <v>966135</v>
      </c>
      <c r="C28" s="42">
        <v>4850136</v>
      </c>
      <c r="D28" s="32">
        <v>4870846</v>
      </c>
      <c r="E28" s="71"/>
      <c r="H28" s="137">
        <v>4864926</v>
      </c>
      <c r="L28" s="32"/>
      <c r="M28" s="42"/>
      <c r="O28" s="32" t="s">
        <v>20</v>
      </c>
    </row>
    <row r="29" spans="2:15" s="12" customFormat="1" ht="12.75">
      <c r="B29" s="12">
        <v>966136</v>
      </c>
      <c r="C29" s="42">
        <v>4850137</v>
      </c>
      <c r="D29" s="32"/>
      <c r="E29" s="11">
        <v>4861122</v>
      </c>
      <c r="F29" s="12">
        <f>E29-C29</f>
        <v>10985</v>
      </c>
      <c r="H29" s="11"/>
      <c r="I29" s="11"/>
      <c r="J29" s="11"/>
      <c r="M29" s="42" t="s">
        <v>34</v>
      </c>
      <c r="N29" s="12" t="s">
        <v>26</v>
      </c>
      <c r="O29" s="32">
        <v>2008</v>
      </c>
    </row>
    <row r="30" spans="2:15" s="12" customFormat="1" ht="12.75">
      <c r="B30" s="12">
        <v>966141</v>
      </c>
      <c r="C30" s="42">
        <v>4850142</v>
      </c>
      <c r="D30" s="32"/>
      <c r="E30" s="11">
        <v>4861127</v>
      </c>
      <c r="F30" s="12">
        <f>E30-C30</f>
        <v>10985</v>
      </c>
      <c r="H30" s="11"/>
      <c r="I30" s="11"/>
      <c r="J30" s="11"/>
      <c r="L30" s="155"/>
      <c r="M30" s="42">
        <v>1965</v>
      </c>
      <c r="N30" s="12" t="s">
        <v>26</v>
      </c>
      <c r="O30" s="41">
        <v>1992</v>
      </c>
    </row>
    <row r="31" spans="3:15" s="12" customFormat="1" ht="12.75">
      <c r="C31" s="42">
        <v>4850143</v>
      </c>
      <c r="D31" s="170" t="s">
        <v>23</v>
      </c>
      <c r="E31" s="71"/>
      <c r="H31" s="11"/>
      <c r="I31" s="11"/>
      <c r="J31" s="11"/>
      <c r="M31" s="42"/>
      <c r="O31" s="32" t="s">
        <v>20</v>
      </c>
    </row>
    <row r="32" spans="1:15" s="4" customFormat="1" ht="13.5" thickBot="1">
      <c r="A32" s="4" t="s">
        <v>35</v>
      </c>
      <c r="C32" s="168">
        <v>4850150</v>
      </c>
      <c r="D32" s="20"/>
      <c r="H32" s="3"/>
      <c r="I32" s="3"/>
      <c r="J32" s="3"/>
      <c r="L32" s="140" t="s">
        <v>36</v>
      </c>
      <c r="M32" s="21"/>
      <c r="O32" s="20"/>
    </row>
    <row r="33" spans="2:15" s="12" customFormat="1" ht="12.75">
      <c r="B33" s="166">
        <v>966150</v>
      </c>
      <c r="C33" s="167">
        <v>4850151</v>
      </c>
      <c r="D33" s="32"/>
      <c r="H33" s="11"/>
      <c r="I33" s="11"/>
      <c r="J33" s="11"/>
      <c r="L33" s="155"/>
      <c r="M33" s="42"/>
      <c r="O33" s="32"/>
    </row>
    <row r="34" spans="2:15" s="12" customFormat="1" ht="12.75">
      <c r="B34" s="12">
        <v>966152</v>
      </c>
      <c r="C34" s="167">
        <v>4850153</v>
      </c>
      <c r="D34" s="32">
        <v>4870397</v>
      </c>
      <c r="E34" s="71"/>
      <c r="H34" s="11">
        <v>4864831</v>
      </c>
      <c r="I34" s="11"/>
      <c r="J34" s="11"/>
      <c r="K34" s="12">
        <v>498</v>
      </c>
      <c r="L34" s="42">
        <v>149655</v>
      </c>
      <c r="M34" s="42">
        <v>1964</v>
      </c>
      <c r="N34" s="12" t="s">
        <v>37</v>
      </c>
      <c r="O34" s="41" t="s">
        <v>30</v>
      </c>
    </row>
    <row r="35" spans="3:15" s="12" customFormat="1" ht="12.75">
      <c r="C35" s="167">
        <v>4850154</v>
      </c>
      <c r="D35" s="32"/>
      <c r="E35" s="11">
        <v>4861137</v>
      </c>
      <c r="F35" s="12">
        <f>E35-C35</f>
        <v>10983</v>
      </c>
      <c r="H35" s="11"/>
      <c r="I35" s="11"/>
      <c r="J35" s="11"/>
      <c r="M35" s="32"/>
      <c r="O35" s="32">
        <v>2008</v>
      </c>
    </row>
    <row r="36" spans="2:15" s="12" customFormat="1" ht="12.75">
      <c r="B36" s="12">
        <v>966156</v>
      </c>
      <c r="C36" s="167">
        <v>4850157</v>
      </c>
      <c r="D36" s="32">
        <v>4870442</v>
      </c>
      <c r="E36" s="71"/>
      <c r="H36" s="11">
        <v>4864849</v>
      </c>
      <c r="I36" s="11"/>
      <c r="J36" s="11"/>
      <c r="K36" s="12">
        <v>498</v>
      </c>
      <c r="L36" s="12">
        <v>149659</v>
      </c>
      <c r="M36" s="32">
        <v>1964</v>
      </c>
      <c r="N36" s="12" t="s">
        <v>37</v>
      </c>
      <c r="O36" s="32">
        <v>2007</v>
      </c>
    </row>
    <row r="37" spans="3:15" s="12" customFormat="1" ht="12.75">
      <c r="C37" s="167">
        <v>4850158</v>
      </c>
      <c r="D37" s="178" t="s">
        <v>23</v>
      </c>
      <c r="E37" s="71"/>
      <c r="H37" s="11"/>
      <c r="I37" s="11"/>
      <c r="J37" s="11"/>
      <c r="M37" s="32"/>
      <c r="O37" s="32" t="s">
        <v>20</v>
      </c>
    </row>
    <row r="38" spans="2:15" s="12" customFormat="1" ht="12.75">
      <c r="B38" s="12">
        <v>966161</v>
      </c>
      <c r="C38" s="42">
        <v>4850162</v>
      </c>
      <c r="D38" s="32"/>
      <c r="E38" s="11">
        <v>4861143</v>
      </c>
      <c r="F38" s="12">
        <f>E38-C38</f>
        <v>10981</v>
      </c>
      <c r="H38" s="11"/>
      <c r="I38" s="11"/>
      <c r="J38" s="11"/>
      <c r="K38" s="12">
        <f>1162-664</f>
        <v>498</v>
      </c>
      <c r="L38" s="12">
        <v>149664</v>
      </c>
      <c r="M38" s="32">
        <v>1964</v>
      </c>
      <c r="N38" s="12" t="s">
        <v>37</v>
      </c>
      <c r="O38" s="32"/>
    </row>
    <row r="39" spans="2:15" s="12" customFormat="1" ht="12.75">
      <c r="B39" s="12">
        <v>966162</v>
      </c>
      <c r="C39" s="42">
        <v>4850163</v>
      </c>
      <c r="D39" s="121"/>
      <c r="E39" s="11">
        <v>4861144</v>
      </c>
      <c r="F39" s="12">
        <f>E39-C39</f>
        <v>10981</v>
      </c>
      <c r="H39" s="11"/>
      <c r="I39" s="11"/>
      <c r="J39" s="11"/>
      <c r="M39" s="32">
        <v>1964</v>
      </c>
      <c r="N39" s="12" t="s">
        <v>37</v>
      </c>
      <c r="O39" s="32">
        <v>2006</v>
      </c>
    </row>
    <row r="40" spans="2:15" s="12" customFormat="1" ht="12.75">
      <c r="B40" s="32"/>
      <c r="C40" s="42">
        <v>4850165</v>
      </c>
      <c r="D40" s="32"/>
      <c r="E40" s="39">
        <v>4861146</v>
      </c>
      <c r="F40" s="12">
        <f>E40-C40</f>
        <v>10981</v>
      </c>
      <c r="K40" s="12">
        <v>498</v>
      </c>
      <c r="L40" s="12">
        <v>149667</v>
      </c>
      <c r="M40" s="32">
        <v>1964</v>
      </c>
      <c r="N40" s="12" t="s">
        <v>37</v>
      </c>
      <c r="O40" s="32"/>
    </row>
    <row r="41" spans="2:15" s="12" customFormat="1" ht="12.75">
      <c r="B41" s="32"/>
      <c r="C41" s="180">
        <v>4850166</v>
      </c>
      <c r="D41" s="178" t="s">
        <v>23</v>
      </c>
      <c r="E41" s="71"/>
      <c r="M41" s="32"/>
      <c r="O41" s="32" t="s">
        <v>20</v>
      </c>
    </row>
    <row r="42" spans="2:15" s="12" customFormat="1" ht="12.75">
      <c r="B42" s="32"/>
      <c r="C42" s="180">
        <v>4850167</v>
      </c>
      <c r="D42" s="178" t="s">
        <v>23</v>
      </c>
      <c r="E42" s="71"/>
      <c r="M42" s="32"/>
      <c r="O42" s="32" t="s">
        <v>20</v>
      </c>
    </row>
    <row r="43" spans="2:15" s="12" customFormat="1" ht="12.75">
      <c r="B43" s="32"/>
      <c r="C43" s="180">
        <v>4850169</v>
      </c>
      <c r="D43" s="178" t="s">
        <v>23</v>
      </c>
      <c r="E43" s="71"/>
      <c r="M43" s="32"/>
      <c r="O43" s="32" t="s">
        <v>20</v>
      </c>
    </row>
    <row r="44" spans="2:15" s="12" customFormat="1" ht="12.75">
      <c r="B44" s="32">
        <v>966193</v>
      </c>
      <c r="C44" s="42">
        <v>4850194</v>
      </c>
      <c r="D44" s="179"/>
      <c r="E44" s="39">
        <v>4861172</v>
      </c>
      <c r="F44" s="12">
        <f>E44-C44</f>
        <v>10978</v>
      </c>
      <c r="K44" s="12">
        <f>1194-696</f>
        <v>498</v>
      </c>
      <c r="L44" s="12">
        <v>149696</v>
      </c>
      <c r="M44" s="32">
        <v>1964</v>
      </c>
      <c r="N44" s="12" t="s">
        <v>37</v>
      </c>
      <c r="O44" s="32"/>
    </row>
    <row r="45" spans="2:15" s="12" customFormat="1" ht="12.75">
      <c r="B45" s="32"/>
      <c r="C45" s="180">
        <v>4850197</v>
      </c>
      <c r="D45" s="178" t="s">
        <v>23</v>
      </c>
      <c r="E45" s="71"/>
      <c r="M45" s="32"/>
      <c r="O45" s="32" t="s">
        <v>20</v>
      </c>
    </row>
    <row r="46" spans="2:15" s="12" customFormat="1" ht="12.75">
      <c r="B46" s="32">
        <v>966197</v>
      </c>
      <c r="C46" s="42">
        <v>4850198</v>
      </c>
      <c r="D46" s="32">
        <v>4870841</v>
      </c>
      <c r="E46" s="71"/>
      <c r="H46" s="66">
        <v>4864922</v>
      </c>
      <c r="I46" s="66"/>
      <c r="K46" s="12">
        <v>498</v>
      </c>
      <c r="L46" s="12">
        <v>149700</v>
      </c>
      <c r="M46" s="32">
        <v>1964</v>
      </c>
      <c r="N46" s="12" t="s">
        <v>37</v>
      </c>
      <c r="O46" s="32" t="s">
        <v>38</v>
      </c>
    </row>
    <row r="47" spans="2:15" s="12" customFormat="1" ht="12.75">
      <c r="B47" s="32">
        <v>966199</v>
      </c>
      <c r="C47" s="42">
        <v>4850200</v>
      </c>
      <c r="D47" s="32">
        <v>4870950</v>
      </c>
      <c r="E47" s="71"/>
      <c r="H47" s="66">
        <v>4864929</v>
      </c>
      <c r="I47" s="66"/>
      <c r="K47" s="12">
        <v>498</v>
      </c>
      <c r="L47" s="12">
        <v>149702</v>
      </c>
      <c r="M47" s="32">
        <v>1964</v>
      </c>
      <c r="N47" s="12" t="s">
        <v>37</v>
      </c>
      <c r="O47" s="32" t="s">
        <v>20</v>
      </c>
    </row>
    <row r="48" spans="2:15" s="12" customFormat="1" ht="12.75">
      <c r="B48" s="32">
        <v>966200</v>
      </c>
      <c r="C48" s="42">
        <v>4850201</v>
      </c>
      <c r="D48" s="32"/>
      <c r="E48" s="80">
        <v>4861176</v>
      </c>
      <c r="F48" s="12">
        <f>E48-C48</f>
        <v>10975</v>
      </c>
      <c r="K48" s="12">
        <v>498</v>
      </c>
      <c r="L48" s="12">
        <v>149703</v>
      </c>
      <c r="M48" s="42" t="s">
        <v>28</v>
      </c>
      <c r="N48" s="12" t="s">
        <v>37</v>
      </c>
      <c r="O48" s="32">
        <v>2008</v>
      </c>
    </row>
    <row r="49" spans="2:15" s="12" customFormat="1" ht="12.75">
      <c r="B49" s="32">
        <v>966202</v>
      </c>
      <c r="C49" s="42">
        <v>4850203</v>
      </c>
      <c r="D49" s="32">
        <v>4870375</v>
      </c>
      <c r="E49" s="71"/>
      <c r="H49" s="97">
        <v>4864824</v>
      </c>
      <c r="K49" s="12">
        <f>1203-705</f>
        <v>498</v>
      </c>
      <c r="L49" s="12">
        <v>149705</v>
      </c>
      <c r="M49" s="42">
        <v>1964</v>
      </c>
      <c r="N49" s="12" t="s">
        <v>37</v>
      </c>
      <c r="O49" s="32" t="s">
        <v>20</v>
      </c>
    </row>
    <row r="50" spans="2:15" s="12" customFormat="1" ht="12.75">
      <c r="B50" s="32"/>
      <c r="C50" s="42">
        <v>4850207</v>
      </c>
      <c r="D50" s="32"/>
      <c r="E50" s="80">
        <v>4861181</v>
      </c>
      <c r="F50" s="12">
        <f>E50-C50</f>
        <v>10974</v>
      </c>
      <c r="K50" s="12">
        <v>498</v>
      </c>
      <c r="L50" s="12">
        <v>149709</v>
      </c>
      <c r="M50" s="42">
        <v>1964</v>
      </c>
      <c r="N50" s="12" t="s">
        <v>37</v>
      </c>
      <c r="O50" s="32" t="s">
        <v>30</v>
      </c>
    </row>
    <row r="51" spans="2:15" s="12" customFormat="1" ht="12.75">
      <c r="B51" s="32">
        <v>966207</v>
      </c>
      <c r="C51" s="42">
        <v>4850208</v>
      </c>
      <c r="D51" s="32">
        <v>4870415</v>
      </c>
      <c r="E51" s="71"/>
      <c r="H51" s="134">
        <v>4864884</v>
      </c>
      <c r="K51" s="12">
        <v>498</v>
      </c>
      <c r="L51" s="12">
        <v>149710</v>
      </c>
      <c r="M51" s="42">
        <v>1964</v>
      </c>
      <c r="N51" s="12" t="s">
        <v>37</v>
      </c>
      <c r="O51" s="32" t="s">
        <v>20</v>
      </c>
    </row>
    <row r="52" spans="2:15" s="12" customFormat="1" ht="12.75">
      <c r="B52" s="32">
        <v>966212</v>
      </c>
      <c r="C52" s="42">
        <v>4850213</v>
      </c>
      <c r="D52" s="32">
        <v>4870842</v>
      </c>
      <c r="E52" s="71"/>
      <c r="H52" s="134">
        <v>4864923</v>
      </c>
      <c r="K52" s="12">
        <v>498</v>
      </c>
      <c r="L52" s="12">
        <v>149715</v>
      </c>
      <c r="M52" s="42">
        <v>1964</v>
      </c>
      <c r="N52" s="12" t="s">
        <v>37</v>
      </c>
      <c r="O52" s="32" t="s">
        <v>20</v>
      </c>
    </row>
    <row r="53" spans="2:15" s="12" customFormat="1" ht="12.75">
      <c r="B53" s="32"/>
      <c r="C53" s="180">
        <v>4850218</v>
      </c>
      <c r="D53" s="178" t="s">
        <v>23</v>
      </c>
      <c r="E53" s="71"/>
      <c r="H53" s="134"/>
      <c r="M53" s="42"/>
      <c r="O53" s="32" t="s">
        <v>20</v>
      </c>
    </row>
    <row r="54" spans="2:15" s="12" customFormat="1" ht="12.75">
      <c r="B54" s="32"/>
      <c r="C54" s="180">
        <v>4850223</v>
      </c>
      <c r="D54" s="178" t="s">
        <v>23</v>
      </c>
      <c r="E54" s="71"/>
      <c r="H54" s="134"/>
      <c r="M54" s="42"/>
      <c r="O54" s="32" t="s">
        <v>20</v>
      </c>
    </row>
    <row r="55" spans="2:15" s="12" customFormat="1" ht="12.75">
      <c r="B55" s="32">
        <v>966224</v>
      </c>
      <c r="C55" s="42">
        <v>4850225</v>
      </c>
      <c r="D55" s="32">
        <v>4870839</v>
      </c>
      <c r="E55" s="71"/>
      <c r="H55" s="134">
        <v>4864920</v>
      </c>
      <c r="K55" s="12">
        <f>1225-727</f>
        <v>498</v>
      </c>
      <c r="L55" s="12">
        <v>149727</v>
      </c>
      <c r="M55" s="42">
        <v>1964</v>
      </c>
      <c r="N55" s="12" t="s">
        <v>37</v>
      </c>
      <c r="O55" s="32" t="s">
        <v>20</v>
      </c>
    </row>
    <row r="56" spans="2:15" s="12" customFormat="1" ht="12.75">
      <c r="B56" s="32"/>
      <c r="C56" s="180">
        <v>4850228</v>
      </c>
      <c r="D56" s="178" t="s">
        <v>23</v>
      </c>
      <c r="E56" s="71"/>
      <c r="H56" s="134"/>
      <c r="M56" s="42"/>
      <c r="O56" s="32" t="s">
        <v>20</v>
      </c>
    </row>
    <row r="57" spans="2:15" s="12" customFormat="1" ht="12.75">
      <c r="B57" s="32">
        <v>966229</v>
      </c>
      <c r="C57" s="42">
        <v>4850230</v>
      </c>
      <c r="D57" s="178"/>
      <c r="E57" s="80">
        <v>4861197</v>
      </c>
      <c r="F57" s="12">
        <f>E57-C57</f>
        <v>10967</v>
      </c>
      <c r="H57" s="134"/>
      <c r="M57" s="42"/>
      <c r="O57" s="32">
        <v>2010</v>
      </c>
    </row>
    <row r="58" spans="2:15" s="12" customFormat="1" ht="12.75">
      <c r="B58" s="32"/>
      <c r="C58" s="167">
        <v>4850232</v>
      </c>
      <c r="D58" s="32"/>
      <c r="E58" s="80">
        <v>4861199</v>
      </c>
      <c r="M58" s="42"/>
      <c r="O58" s="32" t="s">
        <v>39</v>
      </c>
    </row>
    <row r="59" spans="2:15" s="12" customFormat="1" ht="12.75">
      <c r="B59" s="32"/>
      <c r="C59" s="167">
        <v>4850238</v>
      </c>
      <c r="D59" s="178" t="s">
        <v>23</v>
      </c>
      <c r="E59" s="71"/>
      <c r="M59" s="42"/>
      <c r="O59" s="32" t="s">
        <v>20</v>
      </c>
    </row>
    <row r="60" spans="2:15" s="12" customFormat="1" ht="12.75">
      <c r="B60" s="32">
        <v>966239</v>
      </c>
      <c r="C60" s="42">
        <v>4850240</v>
      </c>
      <c r="D60" s="32">
        <v>4870848</v>
      </c>
      <c r="E60" s="71"/>
      <c r="H60" s="132">
        <v>4863999</v>
      </c>
      <c r="K60" s="12">
        <f>1240-742</f>
        <v>498</v>
      </c>
      <c r="L60" s="12">
        <v>149742</v>
      </c>
      <c r="M60" s="42">
        <v>1964</v>
      </c>
      <c r="N60" s="12" t="s">
        <v>37</v>
      </c>
      <c r="O60" s="32" t="s">
        <v>20</v>
      </c>
    </row>
    <row r="61" spans="2:15" s="12" customFormat="1" ht="12.75">
      <c r="B61" s="32"/>
      <c r="C61" s="180">
        <v>4850241</v>
      </c>
      <c r="D61" s="178" t="s">
        <v>23</v>
      </c>
      <c r="E61" s="71"/>
      <c r="H61" s="132"/>
      <c r="M61" s="42"/>
      <c r="O61" s="32" t="s">
        <v>20</v>
      </c>
    </row>
    <row r="62" spans="2:15" s="12" customFormat="1" ht="12.75">
      <c r="B62" s="32">
        <v>966243</v>
      </c>
      <c r="C62" s="227">
        <v>4850244</v>
      </c>
      <c r="D62" s="178"/>
      <c r="E62" s="11">
        <v>4861208</v>
      </c>
      <c r="F62" s="12">
        <f>E62-C62</f>
        <v>10964</v>
      </c>
      <c r="H62" s="132"/>
      <c r="K62" s="12">
        <v>498</v>
      </c>
      <c r="L62" s="12">
        <v>149746</v>
      </c>
      <c r="M62" s="42">
        <v>1964</v>
      </c>
      <c r="N62" s="12" t="s">
        <v>37</v>
      </c>
      <c r="O62" s="32">
        <v>2010</v>
      </c>
    </row>
    <row r="63" spans="2:15" s="12" customFormat="1" ht="12.75">
      <c r="B63" s="32">
        <v>966252</v>
      </c>
      <c r="C63" s="42">
        <v>4850253</v>
      </c>
      <c r="D63" s="32">
        <v>4870834</v>
      </c>
      <c r="E63" s="71"/>
      <c r="H63" s="132">
        <v>4864916</v>
      </c>
      <c r="K63" s="12">
        <f>1253-755</f>
        <v>498</v>
      </c>
      <c r="L63" s="12">
        <v>149755</v>
      </c>
      <c r="M63" s="32" t="s">
        <v>24</v>
      </c>
      <c r="O63" s="32" t="s">
        <v>20</v>
      </c>
    </row>
    <row r="64" spans="2:15" s="12" customFormat="1" ht="12.75">
      <c r="B64" s="32"/>
      <c r="C64" s="180">
        <v>4850272</v>
      </c>
      <c r="D64" s="178" t="s">
        <v>23</v>
      </c>
      <c r="E64" s="71"/>
      <c r="H64" s="132"/>
      <c r="M64" s="32"/>
      <c r="O64" s="32" t="s">
        <v>20</v>
      </c>
    </row>
    <row r="65" spans="2:15" s="12" customFormat="1" ht="12.75">
      <c r="B65" s="32"/>
      <c r="C65" s="180">
        <v>4850273</v>
      </c>
      <c r="D65" s="178" t="s">
        <v>23</v>
      </c>
      <c r="E65" s="71"/>
      <c r="H65" s="132"/>
      <c r="M65" s="32"/>
      <c r="O65" s="32" t="s">
        <v>20</v>
      </c>
    </row>
    <row r="66" spans="2:15" s="12" customFormat="1" ht="12.75">
      <c r="B66" s="32"/>
      <c r="C66" s="180">
        <v>4850274</v>
      </c>
      <c r="D66" s="178" t="s">
        <v>23</v>
      </c>
      <c r="E66" s="71"/>
      <c r="H66" s="132"/>
      <c r="M66" s="32"/>
      <c r="O66" s="32" t="s">
        <v>20</v>
      </c>
    </row>
    <row r="67" spans="2:15" s="12" customFormat="1" ht="12.75">
      <c r="B67" s="32"/>
      <c r="C67" s="180">
        <v>4850275</v>
      </c>
      <c r="D67" s="178" t="s">
        <v>23</v>
      </c>
      <c r="E67" s="71"/>
      <c r="H67" s="132"/>
      <c r="M67" s="32"/>
      <c r="O67" s="32" t="s">
        <v>20</v>
      </c>
    </row>
    <row r="68" spans="2:15" s="12" customFormat="1" ht="12.75">
      <c r="B68" s="32">
        <v>966277</v>
      </c>
      <c r="C68" s="42">
        <v>4850278</v>
      </c>
      <c r="D68" s="32"/>
      <c r="E68" s="11">
        <v>4861237</v>
      </c>
      <c r="F68" s="12">
        <f>E68-C68</f>
        <v>10959</v>
      </c>
      <c r="M68" s="32">
        <v>1965</v>
      </c>
      <c r="N68" s="12" t="s">
        <v>37</v>
      </c>
      <c r="O68" s="32">
        <v>2008</v>
      </c>
    </row>
    <row r="69" spans="2:15" s="12" customFormat="1" ht="12.75">
      <c r="B69" s="32"/>
      <c r="C69" s="180">
        <v>4850279</v>
      </c>
      <c r="D69" s="178" t="s">
        <v>23</v>
      </c>
      <c r="E69" s="71"/>
      <c r="M69" s="32"/>
      <c r="O69" s="32" t="s">
        <v>20</v>
      </c>
    </row>
    <row r="70" spans="2:15" s="12" customFormat="1" ht="12.75">
      <c r="B70" s="32"/>
      <c r="C70" s="180">
        <v>4850281</v>
      </c>
      <c r="D70" s="178" t="s">
        <v>23</v>
      </c>
      <c r="E70" s="71"/>
      <c r="M70" s="32"/>
      <c r="O70" s="32" t="s">
        <v>20</v>
      </c>
    </row>
    <row r="71" spans="2:15" s="12" customFormat="1" ht="12.75">
      <c r="B71" s="32"/>
      <c r="C71" s="180">
        <v>4850282</v>
      </c>
      <c r="D71" s="178" t="s">
        <v>23</v>
      </c>
      <c r="E71" s="71"/>
      <c r="M71" s="32"/>
      <c r="O71" s="32" t="s">
        <v>20</v>
      </c>
    </row>
    <row r="72" spans="2:15" s="12" customFormat="1" ht="12.75">
      <c r="B72" s="171"/>
      <c r="C72" s="10">
        <v>4850285</v>
      </c>
      <c r="D72" s="9"/>
      <c r="E72" s="11">
        <v>4861241</v>
      </c>
      <c r="F72" s="12">
        <f>E72-C72</f>
        <v>10956</v>
      </c>
      <c r="G72" s="9"/>
      <c r="H72" s="9"/>
      <c r="I72" s="9"/>
      <c r="J72" s="9"/>
      <c r="K72" s="9"/>
      <c r="L72" s="9"/>
      <c r="M72" s="10">
        <v>1965</v>
      </c>
      <c r="N72" s="9" t="s">
        <v>37</v>
      </c>
      <c r="O72" s="32">
        <v>2005</v>
      </c>
    </row>
    <row r="73" spans="2:15" s="12" customFormat="1" ht="12.75">
      <c r="B73" s="171"/>
      <c r="C73" s="181">
        <v>4850288</v>
      </c>
      <c r="D73" s="178" t="s">
        <v>23</v>
      </c>
      <c r="E73" s="71"/>
      <c r="G73" s="9"/>
      <c r="H73" s="9"/>
      <c r="I73" s="9"/>
      <c r="J73" s="9"/>
      <c r="K73" s="9"/>
      <c r="L73" s="9"/>
      <c r="M73" s="10"/>
      <c r="N73" s="9"/>
      <c r="O73" s="32" t="s">
        <v>20</v>
      </c>
    </row>
    <row r="74" spans="2:15" s="12" customFormat="1" ht="12.75">
      <c r="B74" s="32"/>
      <c r="C74" s="10">
        <v>4850290</v>
      </c>
      <c r="D74" s="9"/>
      <c r="E74" s="11">
        <v>4861245</v>
      </c>
      <c r="F74" s="12">
        <f>E74-C74</f>
        <v>10955</v>
      </c>
      <c r="G74" s="9"/>
      <c r="H74" s="9"/>
      <c r="I74" s="9"/>
      <c r="J74" s="9"/>
      <c r="K74" s="9">
        <f>1290-792</f>
        <v>498</v>
      </c>
      <c r="L74" s="9">
        <v>149792</v>
      </c>
      <c r="M74" s="10">
        <v>1965</v>
      </c>
      <c r="N74" s="9" t="s">
        <v>37</v>
      </c>
      <c r="O74" s="32" t="s">
        <v>40</v>
      </c>
    </row>
    <row r="75" spans="2:15" s="4" customFormat="1" ht="13.5" thickBot="1">
      <c r="B75" s="172">
        <v>966299</v>
      </c>
      <c r="C75" s="168">
        <v>4850300</v>
      </c>
      <c r="D75" s="2"/>
      <c r="E75" s="3"/>
      <c r="G75" s="2"/>
      <c r="H75" s="2"/>
      <c r="I75" s="2"/>
      <c r="J75" s="2"/>
      <c r="K75" s="2"/>
      <c r="L75" s="2"/>
      <c r="M75" s="6"/>
      <c r="N75" s="2"/>
      <c r="O75" s="20" t="s">
        <v>20</v>
      </c>
    </row>
    <row r="76" spans="2:15" s="12" customFormat="1" ht="12.75">
      <c r="B76" s="171">
        <v>966300</v>
      </c>
      <c r="C76" s="167">
        <v>4850301</v>
      </c>
      <c r="D76" s="166"/>
      <c r="E76" s="166"/>
      <c r="F76" s="166"/>
      <c r="G76" s="166"/>
      <c r="H76" s="166"/>
      <c r="I76" s="166"/>
      <c r="J76" s="166"/>
      <c r="K76" s="166">
        <v>299</v>
      </c>
      <c r="L76" s="167" t="s">
        <v>41</v>
      </c>
      <c r="M76" s="10">
        <v>1964</v>
      </c>
      <c r="N76" s="9" t="s">
        <v>16</v>
      </c>
      <c r="O76" s="32" t="s">
        <v>20</v>
      </c>
    </row>
    <row r="77" spans="2:15" s="12" customFormat="1" ht="12.75">
      <c r="B77" s="32">
        <v>966302</v>
      </c>
      <c r="C77" s="13">
        <v>4850303</v>
      </c>
      <c r="D77" s="9"/>
      <c r="E77" s="66">
        <v>4861258</v>
      </c>
      <c r="F77" s="12">
        <f>E77-C77</f>
        <v>10955</v>
      </c>
      <c r="G77" s="9"/>
      <c r="H77" s="9"/>
      <c r="I77" s="9"/>
      <c r="J77" s="9"/>
      <c r="K77" s="9"/>
      <c r="L77" s="13" t="s">
        <v>42</v>
      </c>
      <c r="M77" s="10">
        <v>1964</v>
      </c>
      <c r="N77" s="9" t="s">
        <v>16</v>
      </c>
      <c r="O77" s="32" t="s">
        <v>38</v>
      </c>
    </row>
    <row r="78" spans="2:15" s="12" customFormat="1" ht="12.75">
      <c r="B78" s="32">
        <v>966305</v>
      </c>
      <c r="C78" s="13">
        <v>4850306</v>
      </c>
      <c r="D78" s="9"/>
      <c r="E78" s="11">
        <v>4861261</v>
      </c>
      <c r="F78" s="12">
        <f>E78-C78</f>
        <v>10955</v>
      </c>
      <c r="G78" s="9"/>
      <c r="H78" s="9"/>
      <c r="I78" s="9"/>
      <c r="J78" s="9"/>
      <c r="K78" s="9">
        <v>299</v>
      </c>
      <c r="L78" s="13" t="s">
        <v>43</v>
      </c>
      <c r="M78" s="10">
        <v>1964</v>
      </c>
      <c r="N78" s="9" t="s">
        <v>16</v>
      </c>
      <c r="O78" s="32">
        <v>2002</v>
      </c>
    </row>
    <row r="79" spans="2:15" s="12" customFormat="1" ht="12.75">
      <c r="B79" s="32">
        <v>966307</v>
      </c>
      <c r="C79" s="13">
        <v>4850308</v>
      </c>
      <c r="D79" s="9">
        <v>4870420</v>
      </c>
      <c r="E79" s="71"/>
      <c r="G79" s="9"/>
      <c r="H79" s="134">
        <v>4864851</v>
      </c>
      <c r="I79" s="9"/>
      <c r="J79" s="9"/>
      <c r="K79" s="9">
        <v>299</v>
      </c>
      <c r="L79" s="13" t="s">
        <v>44</v>
      </c>
      <c r="M79" s="10">
        <v>1964</v>
      </c>
      <c r="N79" s="9" t="s">
        <v>16</v>
      </c>
      <c r="O79" s="32" t="s">
        <v>22</v>
      </c>
    </row>
    <row r="80" spans="2:15" s="12" customFormat="1" ht="12.75">
      <c r="B80" s="32">
        <v>966312</v>
      </c>
      <c r="C80" s="13">
        <v>4850313</v>
      </c>
      <c r="D80" s="9"/>
      <c r="E80" s="11">
        <v>4861267</v>
      </c>
      <c r="F80" s="12">
        <f>E80-C80</f>
        <v>10954</v>
      </c>
      <c r="G80" s="9"/>
      <c r="H80" s="9"/>
      <c r="I80" s="9"/>
      <c r="J80" s="9"/>
      <c r="K80" s="9">
        <v>299</v>
      </c>
      <c r="L80" s="13" t="s">
        <v>45</v>
      </c>
      <c r="M80" s="10">
        <v>1964</v>
      </c>
      <c r="N80" s="9" t="s">
        <v>16</v>
      </c>
      <c r="O80" s="32" t="s">
        <v>30</v>
      </c>
    </row>
    <row r="81" spans="2:15" s="12" customFormat="1" ht="12.75">
      <c r="B81" s="32">
        <v>966315</v>
      </c>
      <c r="C81" s="13">
        <v>4850316</v>
      </c>
      <c r="D81" s="9"/>
      <c r="E81" s="11">
        <v>4861270</v>
      </c>
      <c r="F81" s="12">
        <f>E81-C81</f>
        <v>10954</v>
      </c>
      <c r="G81" s="9"/>
      <c r="H81" s="9"/>
      <c r="I81" s="9"/>
      <c r="J81" s="9"/>
      <c r="K81" s="9">
        <v>299</v>
      </c>
      <c r="L81" s="13" t="s">
        <v>46</v>
      </c>
      <c r="M81" s="10">
        <v>1964</v>
      </c>
      <c r="N81" s="9" t="s">
        <v>16</v>
      </c>
      <c r="O81" s="32" t="s">
        <v>30</v>
      </c>
    </row>
    <row r="82" spans="2:15" s="12" customFormat="1" ht="12.75">
      <c r="B82" s="12">
        <v>966320</v>
      </c>
      <c r="C82" s="12">
        <v>4850321</v>
      </c>
      <c r="D82" s="12">
        <v>4870849</v>
      </c>
      <c r="E82" s="71"/>
      <c r="H82" s="11">
        <v>4864928</v>
      </c>
      <c r="I82" s="11"/>
      <c r="J82" s="11"/>
      <c r="M82" s="32">
        <v>1964</v>
      </c>
      <c r="N82" s="12" t="s">
        <v>16</v>
      </c>
      <c r="O82" s="32">
        <v>2008</v>
      </c>
    </row>
    <row r="83" spans="2:15" s="12" customFormat="1" ht="12.75">
      <c r="B83" s="12">
        <v>966321</v>
      </c>
      <c r="C83" s="12">
        <v>4850322</v>
      </c>
      <c r="E83" s="11">
        <v>4861275</v>
      </c>
      <c r="F83" s="12">
        <f>E83-C83</f>
        <v>10953</v>
      </c>
      <c r="H83" s="11"/>
      <c r="I83" s="11"/>
      <c r="J83" s="11"/>
      <c r="K83" s="12">
        <v>299</v>
      </c>
      <c r="L83" s="42" t="s">
        <v>47</v>
      </c>
      <c r="M83" s="32">
        <v>1964</v>
      </c>
      <c r="N83" s="12" t="s">
        <v>16</v>
      </c>
      <c r="O83" s="32" t="s">
        <v>48</v>
      </c>
    </row>
    <row r="84" spans="2:17" s="9" customFormat="1" ht="12.75">
      <c r="B84" s="9">
        <v>966323</v>
      </c>
      <c r="C84" s="13" t="s">
        <v>49</v>
      </c>
      <c r="D84" s="9">
        <v>4870417</v>
      </c>
      <c r="E84" s="63"/>
      <c r="F84" s="12"/>
      <c r="H84" s="11">
        <v>4864886</v>
      </c>
      <c r="I84" s="11"/>
      <c r="J84" s="11"/>
      <c r="K84" s="9">
        <v>299</v>
      </c>
      <c r="L84" s="13" t="s">
        <v>50</v>
      </c>
      <c r="M84" s="10">
        <v>1964</v>
      </c>
      <c r="N84" s="9" t="s">
        <v>16</v>
      </c>
      <c r="O84" s="10">
        <v>2006</v>
      </c>
      <c r="Q84" s="12"/>
    </row>
    <row r="85" spans="2:17" s="9" customFormat="1" ht="12.75">
      <c r="B85" s="9">
        <v>966329</v>
      </c>
      <c r="C85" s="13">
        <v>4850330</v>
      </c>
      <c r="D85" s="9">
        <v>4870843</v>
      </c>
      <c r="E85" s="63"/>
      <c r="F85" s="12"/>
      <c r="H85" s="11">
        <v>4863998</v>
      </c>
      <c r="I85" s="11"/>
      <c r="J85" s="11"/>
      <c r="L85" s="13"/>
      <c r="M85" s="10">
        <v>1964</v>
      </c>
      <c r="N85" s="9" t="s">
        <v>16</v>
      </c>
      <c r="O85" s="10" t="s">
        <v>51</v>
      </c>
      <c r="Q85" s="12"/>
    </row>
    <row r="86" spans="2:17" s="9" customFormat="1" ht="12.75">
      <c r="B86" s="9">
        <v>966337</v>
      </c>
      <c r="C86" s="13">
        <v>4850338</v>
      </c>
      <c r="D86" s="9">
        <v>4870847</v>
      </c>
      <c r="E86" s="63"/>
      <c r="F86" s="12"/>
      <c r="H86" s="11">
        <v>4864927</v>
      </c>
      <c r="I86" s="11"/>
      <c r="J86" s="11"/>
      <c r="K86" s="9">
        <v>299</v>
      </c>
      <c r="L86" s="13" t="s">
        <v>52</v>
      </c>
      <c r="M86" s="10">
        <v>1964</v>
      </c>
      <c r="N86" s="9" t="s">
        <v>16</v>
      </c>
      <c r="O86" s="10" t="s">
        <v>20</v>
      </c>
      <c r="Q86" s="12"/>
    </row>
    <row r="87" spans="2:17" s="9" customFormat="1" ht="12.75">
      <c r="B87" s="9">
        <v>966347</v>
      </c>
      <c r="C87" s="13">
        <v>4850348</v>
      </c>
      <c r="D87" s="9">
        <v>4870402</v>
      </c>
      <c r="E87" s="63"/>
      <c r="F87" s="12"/>
      <c r="H87" s="11">
        <v>4864836</v>
      </c>
      <c r="I87" s="11"/>
      <c r="J87" s="11"/>
      <c r="K87" s="9">
        <v>299</v>
      </c>
      <c r="L87" s="13" t="s">
        <v>53</v>
      </c>
      <c r="M87" s="10">
        <v>1964</v>
      </c>
      <c r="N87" s="9" t="s">
        <v>16</v>
      </c>
      <c r="O87" s="10" t="s">
        <v>20</v>
      </c>
      <c r="Q87" s="12"/>
    </row>
    <row r="88" spans="2:17" s="9" customFormat="1" ht="12.75">
      <c r="B88" s="9">
        <v>966353</v>
      </c>
      <c r="C88" s="9">
        <v>4850354</v>
      </c>
      <c r="E88" s="11">
        <v>4861302</v>
      </c>
      <c r="F88" s="12">
        <f>E88-C88</f>
        <v>10948</v>
      </c>
      <c r="M88" s="10">
        <v>1964</v>
      </c>
      <c r="N88" s="9" t="s">
        <v>16</v>
      </c>
      <c r="O88" s="10">
        <v>2003</v>
      </c>
      <c r="Q88" s="12"/>
    </row>
    <row r="89" spans="2:17" s="9" customFormat="1" ht="12.75">
      <c r="B89" s="9">
        <v>966355</v>
      </c>
      <c r="C89" s="9">
        <v>4850356</v>
      </c>
      <c r="E89" s="11">
        <v>4861304</v>
      </c>
      <c r="F89" s="12">
        <f>E89-C89</f>
        <v>10948</v>
      </c>
      <c r="K89" s="9">
        <v>299</v>
      </c>
      <c r="L89" s="13" t="s">
        <v>54</v>
      </c>
      <c r="M89" s="10">
        <v>1964</v>
      </c>
      <c r="N89" s="9" t="s">
        <v>16</v>
      </c>
      <c r="O89" s="10">
        <v>2008</v>
      </c>
      <c r="Q89" s="12"/>
    </row>
    <row r="90" spans="2:17" s="9" customFormat="1" ht="12.75">
      <c r="B90" s="9">
        <v>966362</v>
      </c>
      <c r="C90" s="9">
        <v>4850363</v>
      </c>
      <c r="E90" s="50">
        <v>4861311</v>
      </c>
      <c r="F90" s="12">
        <f>E90-C90</f>
        <v>10948</v>
      </c>
      <c r="H90" s="130" t="s">
        <v>55</v>
      </c>
      <c r="I90" s="130"/>
      <c r="J90" s="9" t="s">
        <v>56</v>
      </c>
      <c r="L90" s="13"/>
      <c r="M90" s="10">
        <v>1964</v>
      </c>
      <c r="N90" s="9" t="s">
        <v>16</v>
      </c>
      <c r="O90" s="10" t="s">
        <v>38</v>
      </c>
      <c r="Q90" s="12"/>
    </row>
    <row r="91" spans="2:17" s="9" customFormat="1" ht="12.75">
      <c r="B91" s="9">
        <v>966364</v>
      </c>
      <c r="C91" s="13" t="s">
        <v>57</v>
      </c>
      <c r="E91" s="11">
        <v>4861313</v>
      </c>
      <c r="F91" s="12">
        <v>10948</v>
      </c>
      <c r="K91" s="9">
        <v>299</v>
      </c>
      <c r="L91" s="13" t="s">
        <v>58</v>
      </c>
      <c r="M91" s="10">
        <v>1964</v>
      </c>
      <c r="N91" s="9" t="s">
        <v>16</v>
      </c>
      <c r="O91" s="10">
        <v>2004</v>
      </c>
      <c r="Q91" s="12"/>
    </row>
    <row r="92" spans="2:17" s="9" customFormat="1" ht="12.75">
      <c r="B92" s="9">
        <v>966366</v>
      </c>
      <c r="C92" s="13">
        <v>4850367</v>
      </c>
      <c r="E92" s="11">
        <v>4861315</v>
      </c>
      <c r="F92" s="12">
        <v>10948</v>
      </c>
      <c r="K92" s="9">
        <v>299</v>
      </c>
      <c r="L92" s="13" t="s">
        <v>59</v>
      </c>
      <c r="M92" s="10">
        <v>1964</v>
      </c>
      <c r="N92" s="9" t="s">
        <v>16</v>
      </c>
      <c r="O92" s="10">
        <v>2008</v>
      </c>
      <c r="Q92" s="12"/>
    </row>
    <row r="93" spans="2:17" s="9" customFormat="1" ht="12.75">
      <c r="B93" s="9">
        <v>966367</v>
      </c>
      <c r="C93" s="9">
        <v>4850368</v>
      </c>
      <c r="E93" s="11">
        <v>4861316</v>
      </c>
      <c r="F93" s="12">
        <f>E93-C93</f>
        <v>10948</v>
      </c>
      <c r="K93" s="9">
        <f>368-69</f>
        <v>299</v>
      </c>
      <c r="L93" s="13" t="s">
        <v>60</v>
      </c>
      <c r="M93" s="10">
        <v>1964</v>
      </c>
      <c r="N93" s="9" t="s">
        <v>16</v>
      </c>
      <c r="O93" s="10">
        <v>2005</v>
      </c>
      <c r="Q93" s="12"/>
    </row>
    <row r="94" spans="2:17" s="9" customFormat="1" ht="12.75">
      <c r="B94" s="9">
        <v>966371</v>
      </c>
      <c r="C94" s="9">
        <v>4850372</v>
      </c>
      <c r="D94" s="9">
        <v>4870845</v>
      </c>
      <c r="E94" s="63"/>
      <c r="F94" s="12"/>
      <c r="H94" s="137">
        <v>4864925</v>
      </c>
      <c r="L94" s="13"/>
      <c r="M94" s="10">
        <v>1964</v>
      </c>
      <c r="N94" s="9" t="s">
        <v>16</v>
      </c>
      <c r="O94" s="10" t="s">
        <v>20</v>
      </c>
      <c r="Q94" s="12"/>
    </row>
    <row r="95" spans="2:17" s="9" customFormat="1" ht="12.75">
      <c r="B95" s="9">
        <v>966373</v>
      </c>
      <c r="C95" s="9">
        <v>4850374</v>
      </c>
      <c r="E95" s="11">
        <v>4861321</v>
      </c>
      <c r="F95" s="12">
        <f>E95-C95</f>
        <v>10947</v>
      </c>
      <c r="K95" s="9">
        <v>299</v>
      </c>
      <c r="L95" s="13" t="s">
        <v>61</v>
      </c>
      <c r="M95" s="10">
        <v>1964</v>
      </c>
      <c r="N95" s="9" t="s">
        <v>16</v>
      </c>
      <c r="O95" s="10">
        <v>2006</v>
      </c>
      <c r="Q95" s="12"/>
    </row>
    <row r="96" spans="2:17" s="9" customFormat="1" ht="12.75">
      <c r="B96" s="9">
        <v>966375</v>
      </c>
      <c r="C96" s="9">
        <v>4850376</v>
      </c>
      <c r="E96" s="137">
        <v>4861323</v>
      </c>
      <c r="F96" s="12">
        <f>E96-C96</f>
        <v>10947</v>
      </c>
      <c r="K96" s="9">
        <v>299</v>
      </c>
      <c r="L96" s="13" t="s">
        <v>62</v>
      </c>
      <c r="M96" s="10">
        <v>1964</v>
      </c>
      <c r="N96" s="9" t="s">
        <v>16</v>
      </c>
      <c r="O96" s="10"/>
      <c r="Q96" s="12"/>
    </row>
    <row r="97" spans="2:17" s="9" customFormat="1" ht="12.75">
      <c r="B97" s="9">
        <v>966379</v>
      </c>
      <c r="C97" s="9">
        <v>4850380</v>
      </c>
      <c r="E97" s="137">
        <v>4861327</v>
      </c>
      <c r="F97" s="12">
        <f>E97-C97</f>
        <v>10947</v>
      </c>
      <c r="K97" s="9">
        <v>299</v>
      </c>
      <c r="L97" s="13" t="s">
        <v>63</v>
      </c>
      <c r="M97" s="10">
        <v>1964</v>
      </c>
      <c r="N97" s="9" t="s">
        <v>16</v>
      </c>
      <c r="O97" s="10">
        <v>2008</v>
      </c>
      <c r="Q97" s="12"/>
    </row>
    <row r="98" spans="2:17" s="9" customFormat="1" ht="12.75">
      <c r="B98" s="9">
        <v>966383</v>
      </c>
      <c r="C98" s="9">
        <v>4850384</v>
      </c>
      <c r="D98" s="9">
        <v>4870837</v>
      </c>
      <c r="E98" s="63"/>
      <c r="F98" s="12"/>
      <c r="H98" s="137">
        <v>4863997</v>
      </c>
      <c r="L98" s="13"/>
      <c r="M98" s="10">
        <v>1964</v>
      </c>
      <c r="N98" s="9" t="s">
        <v>16</v>
      </c>
      <c r="O98" s="10" t="s">
        <v>20</v>
      </c>
      <c r="Q98" s="12"/>
    </row>
    <row r="99" spans="2:17" s="9" customFormat="1" ht="12.75">
      <c r="B99" s="9">
        <v>966386</v>
      </c>
      <c r="C99" s="9">
        <v>4850387</v>
      </c>
      <c r="D99" s="9">
        <v>4870838</v>
      </c>
      <c r="E99" s="63"/>
      <c r="F99" s="12"/>
      <c r="H99" s="137">
        <v>4864919</v>
      </c>
      <c r="L99" s="13"/>
      <c r="M99" s="10">
        <v>1964</v>
      </c>
      <c r="N99" s="9" t="s">
        <v>16</v>
      </c>
      <c r="O99" s="10" t="s">
        <v>20</v>
      </c>
      <c r="Q99" s="12"/>
    </row>
    <row r="100" spans="2:17" s="9" customFormat="1" ht="12.75">
      <c r="B100" s="9">
        <v>966390</v>
      </c>
      <c r="C100" s="9">
        <v>4850391</v>
      </c>
      <c r="E100" s="68">
        <v>4861336</v>
      </c>
      <c r="F100" s="12">
        <f>E100-C100</f>
        <v>10945</v>
      </c>
      <c r="M100" s="10">
        <v>1964</v>
      </c>
      <c r="N100" s="9" t="s">
        <v>16</v>
      </c>
      <c r="O100" s="10">
        <v>2008</v>
      </c>
      <c r="Q100" s="12"/>
    </row>
    <row r="101" spans="2:17" s="9" customFormat="1" ht="12.75">
      <c r="B101" s="9">
        <v>966398</v>
      </c>
      <c r="C101" s="9">
        <v>4850399</v>
      </c>
      <c r="D101" s="170" t="s">
        <v>23</v>
      </c>
      <c r="E101" s="63"/>
      <c r="F101" s="12"/>
      <c r="H101" s="97">
        <v>4864827</v>
      </c>
      <c r="K101" s="9">
        <v>299</v>
      </c>
      <c r="L101" s="9">
        <v>100</v>
      </c>
      <c r="M101" s="10">
        <v>1964</v>
      </c>
      <c r="N101" s="9" t="s">
        <v>16</v>
      </c>
      <c r="O101" s="10">
        <v>2010</v>
      </c>
      <c r="Q101" s="12"/>
    </row>
    <row r="102" spans="2:17" s="9" customFormat="1" ht="12.75">
      <c r="B102" s="9">
        <v>966407</v>
      </c>
      <c r="C102" s="9">
        <v>4850408</v>
      </c>
      <c r="D102" s="163"/>
      <c r="E102" s="50">
        <v>4861351</v>
      </c>
      <c r="F102" s="12">
        <f>E102-C102</f>
        <v>10943</v>
      </c>
      <c r="H102" s="130" t="s">
        <v>64</v>
      </c>
      <c r="I102" s="130"/>
      <c r="J102" s="9" t="s">
        <v>65</v>
      </c>
      <c r="K102" s="9">
        <v>299</v>
      </c>
      <c r="L102" s="9">
        <v>109</v>
      </c>
      <c r="M102" s="10">
        <v>1964</v>
      </c>
      <c r="N102" s="9" t="s">
        <v>16</v>
      </c>
      <c r="O102" s="10" t="s">
        <v>38</v>
      </c>
      <c r="Q102" s="12"/>
    </row>
    <row r="103" spans="2:17" s="9" customFormat="1" ht="12.75">
      <c r="B103" s="9">
        <v>966410</v>
      </c>
      <c r="C103" s="13" t="s">
        <v>66</v>
      </c>
      <c r="D103" s="9">
        <v>4870844</v>
      </c>
      <c r="E103" s="63"/>
      <c r="F103" s="12"/>
      <c r="H103" s="130">
        <v>4864924</v>
      </c>
      <c r="I103" s="130"/>
      <c r="K103" s="9">
        <v>299</v>
      </c>
      <c r="L103" s="9">
        <v>112</v>
      </c>
      <c r="M103" s="10">
        <v>1964</v>
      </c>
      <c r="N103" s="9" t="s">
        <v>16</v>
      </c>
      <c r="O103" s="10" t="s">
        <v>20</v>
      </c>
      <c r="Q103" s="12"/>
    </row>
    <row r="104" spans="2:17" s="9" customFormat="1" ht="12.75">
      <c r="B104" s="9">
        <v>966412</v>
      </c>
      <c r="C104" s="13" t="s">
        <v>67</v>
      </c>
      <c r="D104" s="9">
        <v>4870405</v>
      </c>
      <c r="E104" s="63"/>
      <c r="F104" s="12"/>
      <c r="H104" s="68">
        <v>4864815</v>
      </c>
      <c r="I104" s="68"/>
      <c r="J104" s="68"/>
      <c r="K104" s="9">
        <f>413-114</f>
        <v>299</v>
      </c>
      <c r="L104" s="9">
        <v>114</v>
      </c>
      <c r="M104" s="10">
        <v>1964</v>
      </c>
      <c r="N104" s="9" t="s">
        <v>16</v>
      </c>
      <c r="O104" s="10">
        <v>2008</v>
      </c>
      <c r="Q104" s="12"/>
    </row>
    <row r="105" spans="2:17" s="9" customFormat="1" ht="12.75">
      <c r="B105" s="9">
        <v>966423</v>
      </c>
      <c r="C105" s="13" t="s">
        <v>68</v>
      </c>
      <c r="D105" s="9">
        <v>4870361</v>
      </c>
      <c r="E105" s="63"/>
      <c r="F105" s="12"/>
      <c r="H105" s="11">
        <v>4864839</v>
      </c>
      <c r="I105" s="11"/>
      <c r="J105" s="11"/>
      <c r="K105" s="9">
        <v>299</v>
      </c>
      <c r="L105" s="9">
        <v>125</v>
      </c>
      <c r="M105" s="10">
        <v>1964</v>
      </c>
      <c r="N105" s="9" t="s">
        <v>16</v>
      </c>
      <c r="O105" s="10">
        <v>2004</v>
      </c>
      <c r="Q105" s="12"/>
    </row>
    <row r="106" spans="2:17" s="9" customFormat="1" ht="12.75">
      <c r="B106" s="9">
        <v>966425</v>
      </c>
      <c r="C106" s="13">
        <v>4850426</v>
      </c>
      <c r="D106" s="9">
        <v>4870836</v>
      </c>
      <c r="E106" s="63"/>
      <c r="F106" s="12"/>
      <c r="H106" s="11">
        <v>4864918</v>
      </c>
      <c r="I106" s="11"/>
      <c r="J106" s="11"/>
      <c r="M106" s="10">
        <v>1964</v>
      </c>
      <c r="N106" s="9" t="s">
        <v>16</v>
      </c>
      <c r="O106" s="10" t="s">
        <v>20</v>
      </c>
      <c r="Q106" s="12"/>
    </row>
    <row r="107" spans="2:17" s="9" customFormat="1" ht="12.75">
      <c r="B107" s="9">
        <v>966432</v>
      </c>
      <c r="C107" s="13">
        <v>4850433</v>
      </c>
      <c r="E107" s="68">
        <v>4861372</v>
      </c>
      <c r="F107" s="12">
        <f>E107-C107</f>
        <v>10939</v>
      </c>
      <c r="H107" s="11"/>
      <c r="I107" s="11"/>
      <c r="J107" s="11"/>
      <c r="K107" s="9">
        <v>299</v>
      </c>
      <c r="L107" s="9">
        <v>134</v>
      </c>
      <c r="M107" s="10">
        <v>1964</v>
      </c>
      <c r="N107" s="9" t="s">
        <v>16</v>
      </c>
      <c r="O107" s="10" t="s">
        <v>30</v>
      </c>
      <c r="Q107" s="12"/>
    </row>
    <row r="108" spans="2:17" s="9" customFormat="1" ht="12.75">
      <c r="B108" s="9">
        <v>966436</v>
      </c>
      <c r="C108" s="13">
        <v>4850437</v>
      </c>
      <c r="D108" s="9">
        <v>4870379</v>
      </c>
      <c r="E108" s="63"/>
      <c r="F108" s="12"/>
      <c r="H108" s="11">
        <v>4864935</v>
      </c>
      <c r="I108" s="11"/>
      <c r="J108" s="11"/>
      <c r="K108" s="9">
        <v>299</v>
      </c>
      <c r="L108" s="9">
        <v>138</v>
      </c>
      <c r="M108" s="10">
        <v>1964</v>
      </c>
      <c r="N108" s="9" t="s">
        <v>16</v>
      </c>
      <c r="O108" s="10" t="s">
        <v>20</v>
      </c>
      <c r="Q108" s="12"/>
    </row>
    <row r="109" spans="2:17" s="9" customFormat="1" ht="12.75">
      <c r="B109" s="9">
        <v>966448</v>
      </c>
      <c r="C109" s="13">
        <v>4850449</v>
      </c>
      <c r="E109" s="11">
        <v>4861385</v>
      </c>
      <c r="F109" s="12">
        <f>E109-C109</f>
        <v>10936</v>
      </c>
      <c r="H109" s="11"/>
      <c r="I109" s="11"/>
      <c r="J109" s="11"/>
      <c r="M109" s="10">
        <v>1964</v>
      </c>
      <c r="N109" s="9" t="s">
        <v>16</v>
      </c>
      <c r="O109" s="10">
        <v>2008</v>
      </c>
      <c r="Q109" s="12"/>
    </row>
    <row r="110" spans="1:17" s="9" customFormat="1" ht="12.75">
      <c r="A110" s="9">
        <v>300</v>
      </c>
      <c r="B110" s="198">
        <v>966450</v>
      </c>
      <c r="C110" s="256">
        <v>4850000</v>
      </c>
      <c r="D110" s="9" t="s">
        <v>69</v>
      </c>
      <c r="E110" s="11"/>
      <c r="F110" s="12"/>
      <c r="H110" s="11"/>
      <c r="I110" s="11"/>
      <c r="J110" s="11"/>
      <c r="M110" s="10"/>
      <c r="O110" s="10"/>
      <c r="Q110" s="12"/>
    </row>
    <row r="111" spans="3:17" s="9" customFormat="1" ht="12.75">
      <c r="C111" s="13">
        <v>4850451</v>
      </c>
      <c r="E111" s="11">
        <v>4861387</v>
      </c>
      <c r="F111" s="12"/>
      <c r="H111" s="11"/>
      <c r="I111" s="11"/>
      <c r="J111" s="11"/>
      <c r="L111" s="198">
        <v>152</v>
      </c>
      <c r="M111" s="10">
        <v>1965</v>
      </c>
      <c r="N111" s="198" t="s">
        <v>16</v>
      </c>
      <c r="O111" s="10">
        <v>2010</v>
      </c>
      <c r="Q111" s="12"/>
    </row>
    <row r="112" spans="3:17" s="9" customFormat="1" ht="12.75">
      <c r="C112" s="9">
        <v>4850454</v>
      </c>
      <c r="E112" s="11">
        <v>4861390</v>
      </c>
      <c r="F112" s="12">
        <f>E112-C112</f>
        <v>10936</v>
      </c>
      <c r="M112" s="10"/>
      <c r="O112" s="10">
        <v>2006</v>
      </c>
      <c r="Q112" s="12"/>
    </row>
    <row r="113" spans="2:17" s="9" customFormat="1" ht="12.75">
      <c r="B113" s="16">
        <v>966455</v>
      </c>
      <c r="C113" s="9">
        <v>4850455</v>
      </c>
      <c r="D113" s="9">
        <v>4870380</v>
      </c>
      <c r="E113" s="63"/>
      <c r="F113" s="12"/>
      <c r="H113" s="66">
        <v>4864873</v>
      </c>
      <c r="I113" s="66"/>
      <c r="J113" s="66"/>
      <c r="L113" s="9">
        <v>156</v>
      </c>
      <c r="M113" s="10">
        <v>1965</v>
      </c>
      <c r="N113" s="9" t="s">
        <v>16</v>
      </c>
      <c r="O113" s="10" t="s">
        <v>20</v>
      </c>
      <c r="Q113" s="12"/>
    </row>
    <row r="114" spans="3:17" s="9" customFormat="1" ht="12.75">
      <c r="C114" s="12">
        <v>4850457</v>
      </c>
      <c r="E114" s="11">
        <v>4861392</v>
      </c>
      <c r="F114" s="12">
        <f aca="true" t="shared" si="0" ref="F114:F119">E114-C114</f>
        <v>10935</v>
      </c>
      <c r="M114" s="10">
        <v>1965</v>
      </c>
      <c r="O114" s="10">
        <v>2007</v>
      </c>
      <c r="Q114" s="12"/>
    </row>
    <row r="115" spans="3:17" s="9" customFormat="1" ht="12.75">
      <c r="C115" s="12">
        <v>4850468</v>
      </c>
      <c r="E115" s="11">
        <v>4861402</v>
      </c>
      <c r="F115" s="12">
        <f t="shared" si="0"/>
        <v>10934</v>
      </c>
      <c r="K115" s="9">
        <v>299</v>
      </c>
      <c r="L115" s="9">
        <v>169</v>
      </c>
      <c r="M115" s="10">
        <v>1965</v>
      </c>
      <c r="N115" s="9" t="s">
        <v>16</v>
      </c>
      <c r="O115" s="10" t="s">
        <v>70</v>
      </c>
      <c r="Q115" s="12"/>
    </row>
    <row r="116" spans="3:17" s="9" customFormat="1" ht="12.75">
      <c r="C116" s="12">
        <v>4850469</v>
      </c>
      <c r="E116" s="11">
        <v>4861403</v>
      </c>
      <c r="F116" s="12">
        <f t="shared" si="0"/>
        <v>10934</v>
      </c>
      <c r="K116" s="9">
        <f>469-170</f>
        <v>299</v>
      </c>
      <c r="L116" s="9">
        <v>170</v>
      </c>
      <c r="M116" s="10">
        <v>1965</v>
      </c>
      <c r="N116" s="9" t="s">
        <v>16</v>
      </c>
      <c r="O116" s="10">
        <v>2008</v>
      </c>
      <c r="Q116" s="12"/>
    </row>
    <row r="117" spans="3:17" s="9" customFormat="1" ht="12.75">
      <c r="C117" s="9">
        <v>4850478</v>
      </c>
      <c r="E117" s="11">
        <v>4861410</v>
      </c>
      <c r="F117" s="12">
        <f t="shared" si="0"/>
        <v>10932</v>
      </c>
      <c r="M117" s="10">
        <v>1965</v>
      </c>
      <c r="N117" s="9" t="s">
        <v>16</v>
      </c>
      <c r="O117" s="10">
        <v>2006</v>
      </c>
      <c r="Q117" s="12"/>
    </row>
    <row r="118" spans="3:17" s="9" customFormat="1" ht="12.75">
      <c r="C118" s="9">
        <v>4850479</v>
      </c>
      <c r="E118" s="11">
        <v>4861411</v>
      </c>
      <c r="F118" s="12">
        <f t="shared" si="0"/>
        <v>10932</v>
      </c>
      <c r="K118" s="9">
        <f>479-180</f>
        <v>299</v>
      </c>
      <c r="L118" s="9">
        <v>180</v>
      </c>
      <c r="M118" s="10">
        <v>1965</v>
      </c>
      <c r="N118" s="9" t="s">
        <v>16</v>
      </c>
      <c r="O118" s="10">
        <v>2008</v>
      </c>
      <c r="Q118" s="12"/>
    </row>
    <row r="119" spans="3:17" s="9" customFormat="1" ht="12.75">
      <c r="C119" s="9">
        <v>4850492</v>
      </c>
      <c r="E119" s="11">
        <v>4861423</v>
      </c>
      <c r="F119" s="12">
        <f t="shared" si="0"/>
        <v>10931</v>
      </c>
      <c r="K119" s="9">
        <v>299</v>
      </c>
      <c r="L119" s="9">
        <v>193</v>
      </c>
      <c r="M119" s="10">
        <v>1965</v>
      </c>
      <c r="N119" s="9" t="s">
        <v>16</v>
      </c>
      <c r="O119" s="10" t="s">
        <v>30</v>
      </c>
      <c r="Q119" s="12"/>
    </row>
    <row r="120" spans="3:17" s="9" customFormat="1" ht="12.75">
      <c r="C120" s="9">
        <v>4850496</v>
      </c>
      <c r="D120" s="10">
        <v>4870825</v>
      </c>
      <c r="E120" s="63"/>
      <c r="F120" s="12"/>
      <c r="H120" s="82">
        <v>4864907</v>
      </c>
      <c r="I120" s="82"/>
      <c r="K120" s="9">
        <v>299</v>
      </c>
      <c r="L120" s="9">
        <v>197</v>
      </c>
      <c r="M120" s="10">
        <v>1965</v>
      </c>
      <c r="N120" s="9" t="s">
        <v>16</v>
      </c>
      <c r="O120" s="10" t="s">
        <v>51</v>
      </c>
      <c r="Q120" s="12"/>
    </row>
    <row r="121" spans="3:17" s="9" customFormat="1" ht="12.75">
      <c r="C121" s="9">
        <v>4850502</v>
      </c>
      <c r="E121" s="11">
        <v>4861432</v>
      </c>
      <c r="F121" s="12">
        <f>E121-C121</f>
        <v>10930</v>
      </c>
      <c r="K121" s="9">
        <f>502-203</f>
        <v>299</v>
      </c>
      <c r="L121" s="9">
        <v>203</v>
      </c>
      <c r="M121" s="10">
        <v>1964</v>
      </c>
      <c r="N121" s="9" t="s">
        <v>16</v>
      </c>
      <c r="O121" s="10">
        <v>2008</v>
      </c>
      <c r="Q121" s="12"/>
    </row>
    <row r="122" spans="3:17" s="9" customFormat="1" ht="12.75">
      <c r="C122" s="9">
        <v>4850506</v>
      </c>
      <c r="E122" s="11">
        <v>4861435</v>
      </c>
      <c r="F122" s="12">
        <f>E122-C122</f>
        <v>10929</v>
      </c>
      <c r="M122" s="10">
        <v>1965</v>
      </c>
      <c r="N122" s="9" t="s">
        <v>16</v>
      </c>
      <c r="O122" s="10">
        <v>2007</v>
      </c>
      <c r="Q122" s="12"/>
    </row>
    <row r="123" spans="3:17" s="9" customFormat="1" ht="12.75">
      <c r="C123" s="13" t="s">
        <v>71</v>
      </c>
      <c r="E123" s="11">
        <v>4861436</v>
      </c>
      <c r="F123" s="12">
        <v>10929</v>
      </c>
      <c r="K123" s="9">
        <v>299</v>
      </c>
      <c r="L123" s="198">
        <v>208</v>
      </c>
      <c r="M123" s="10">
        <v>1965</v>
      </c>
      <c r="N123" s="198" t="s">
        <v>16</v>
      </c>
      <c r="O123" s="10">
        <v>2010</v>
      </c>
      <c r="Q123" s="12"/>
    </row>
    <row r="124" spans="3:17" s="9" customFormat="1" ht="12.75">
      <c r="C124" s="9">
        <v>4850511</v>
      </c>
      <c r="E124" s="11">
        <v>4861439</v>
      </c>
      <c r="F124" s="12">
        <f>E124-C124</f>
        <v>10928</v>
      </c>
      <c r="M124" s="10"/>
      <c r="O124" s="10"/>
      <c r="Q124" s="12"/>
    </row>
    <row r="125" spans="3:17" s="9" customFormat="1" ht="12.75">
      <c r="C125" s="9">
        <v>4850535</v>
      </c>
      <c r="D125" s="9">
        <v>4870387</v>
      </c>
      <c r="E125" s="63"/>
      <c r="F125" s="12"/>
      <c r="H125" s="134">
        <v>4864878</v>
      </c>
      <c r="K125" s="9">
        <f>535-236</f>
        <v>299</v>
      </c>
      <c r="L125" s="9">
        <v>236</v>
      </c>
      <c r="M125" s="10">
        <v>1965</v>
      </c>
      <c r="N125" s="9" t="s">
        <v>16</v>
      </c>
      <c r="O125" s="10" t="s">
        <v>20</v>
      </c>
      <c r="Q125" s="12"/>
    </row>
    <row r="126" spans="3:17" s="9" customFormat="1" ht="12.75">
      <c r="C126" s="9">
        <v>4850537</v>
      </c>
      <c r="E126" s="11">
        <v>4861463</v>
      </c>
      <c r="F126" s="12">
        <f>E126-C126</f>
        <v>10926</v>
      </c>
      <c r="M126" s="10">
        <v>1965</v>
      </c>
      <c r="N126" s="9" t="s">
        <v>16</v>
      </c>
      <c r="O126" s="10">
        <v>2008</v>
      </c>
      <c r="Q126" s="12"/>
    </row>
    <row r="127" spans="3:17" s="9" customFormat="1" ht="12.75">
      <c r="C127" s="9">
        <v>4850539</v>
      </c>
      <c r="D127" s="9">
        <v>4870826</v>
      </c>
      <c r="E127" s="63"/>
      <c r="F127" s="12"/>
      <c r="H127" s="137">
        <v>4864908</v>
      </c>
      <c r="K127" s="9">
        <v>299</v>
      </c>
      <c r="L127" s="9">
        <v>240</v>
      </c>
      <c r="M127" s="10">
        <v>1965</v>
      </c>
      <c r="N127" s="9" t="s">
        <v>16</v>
      </c>
      <c r="O127" s="10" t="s">
        <v>20</v>
      </c>
      <c r="Q127" s="12"/>
    </row>
    <row r="128" spans="3:17" s="9" customFormat="1" ht="12.75">
      <c r="C128" s="9">
        <v>4850543</v>
      </c>
      <c r="E128" s="11">
        <v>4861467</v>
      </c>
      <c r="F128" s="12">
        <f>E128-C128</f>
        <v>10924</v>
      </c>
      <c r="K128" s="9">
        <v>299</v>
      </c>
      <c r="L128" s="9">
        <v>244</v>
      </c>
      <c r="M128" s="10">
        <v>1965</v>
      </c>
      <c r="N128" s="9" t="s">
        <v>16</v>
      </c>
      <c r="O128" s="10" t="s">
        <v>39</v>
      </c>
      <c r="Q128" s="12"/>
    </row>
    <row r="129" spans="3:15" s="9" customFormat="1" ht="12.75">
      <c r="C129" s="9">
        <v>4850545</v>
      </c>
      <c r="D129" s="9">
        <v>4870451</v>
      </c>
      <c r="E129" s="63"/>
      <c r="F129" s="12"/>
      <c r="H129" s="11">
        <v>4864904</v>
      </c>
      <c r="I129" s="11"/>
      <c r="J129" s="11"/>
      <c r="K129" s="9">
        <v>299</v>
      </c>
      <c r="L129" s="9">
        <v>246</v>
      </c>
      <c r="M129" s="10">
        <v>1965</v>
      </c>
      <c r="N129" s="9" t="s">
        <v>16</v>
      </c>
      <c r="O129" s="10">
        <v>2006</v>
      </c>
    </row>
    <row r="130" spans="2:15" s="9" customFormat="1" ht="12.75">
      <c r="B130" s="10" t="s">
        <v>72</v>
      </c>
      <c r="C130" s="9">
        <v>4850545</v>
      </c>
      <c r="D130" s="10" t="s">
        <v>73</v>
      </c>
      <c r="F130" s="86" t="s">
        <v>74</v>
      </c>
      <c r="H130" s="11"/>
      <c r="I130" s="11"/>
      <c r="J130" s="11"/>
      <c r="M130" s="10"/>
      <c r="O130" s="10"/>
    </row>
    <row r="131" spans="2:15" s="9" customFormat="1" ht="12.75">
      <c r="B131" s="10"/>
      <c r="C131" s="9">
        <v>4850549</v>
      </c>
      <c r="D131" s="10"/>
      <c r="E131" s="62">
        <v>4861472</v>
      </c>
      <c r="F131" s="12">
        <f>E131-C131</f>
        <v>10923</v>
      </c>
      <c r="H131" s="11"/>
      <c r="I131" s="11"/>
      <c r="J131" s="11"/>
      <c r="K131" s="9">
        <v>299</v>
      </c>
      <c r="L131" s="9">
        <v>250</v>
      </c>
      <c r="M131" s="10">
        <v>1965</v>
      </c>
      <c r="N131" s="9" t="s">
        <v>16</v>
      </c>
      <c r="O131" s="10">
        <v>2008</v>
      </c>
    </row>
    <row r="132" spans="2:15" s="9" customFormat="1" ht="12.75">
      <c r="B132" s="10"/>
      <c r="C132" s="9">
        <v>4850555</v>
      </c>
      <c r="D132" s="10"/>
      <c r="E132" s="62">
        <v>4861477</v>
      </c>
      <c r="F132" s="12">
        <f>E132-C132</f>
        <v>10922</v>
      </c>
      <c r="H132" s="11"/>
      <c r="I132" s="11"/>
      <c r="J132" s="11"/>
      <c r="M132" s="10"/>
      <c r="O132" s="10" t="s">
        <v>75</v>
      </c>
    </row>
    <row r="133" spans="3:15" s="9" customFormat="1" ht="12.75">
      <c r="C133" s="9">
        <v>4850565</v>
      </c>
      <c r="D133" s="10">
        <v>4870830</v>
      </c>
      <c r="E133" s="63"/>
      <c r="F133" s="12"/>
      <c r="H133" s="11">
        <v>4864912</v>
      </c>
      <c r="I133" s="11"/>
      <c r="J133" s="11"/>
      <c r="K133" s="9">
        <v>299</v>
      </c>
      <c r="L133" s="9">
        <v>266</v>
      </c>
      <c r="M133" s="10">
        <v>1965</v>
      </c>
      <c r="N133" s="9" t="s">
        <v>16</v>
      </c>
      <c r="O133" s="10">
        <v>2008</v>
      </c>
    </row>
    <row r="134" spans="3:15" s="9" customFormat="1" ht="12.75">
      <c r="C134" s="9">
        <v>4850566</v>
      </c>
      <c r="D134" s="10"/>
      <c r="E134" s="11">
        <v>4861486</v>
      </c>
      <c r="F134" s="12">
        <f aca="true" t="shared" si="1" ref="F134:F140">E134-C134</f>
        <v>10920</v>
      </c>
      <c r="H134" s="11"/>
      <c r="I134" s="11"/>
      <c r="J134" s="11"/>
      <c r="K134" s="9">
        <v>299</v>
      </c>
      <c r="L134" s="9">
        <v>267</v>
      </c>
      <c r="M134" s="10">
        <v>1965</v>
      </c>
      <c r="N134" s="9" t="s">
        <v>16</v>
      </c>
      <c r="O134" s="10">
        <v>2008</v>
      </c>
    </row>
    <row r="135" spans="3:15" s="9" customFormat="1" ht="12.75">
      <c r="C135" s="9">
        <v>4850575</v>
      </c>
      <c r="D135" s="57"/>
      <c r="E135" s="11">
        <v>4861495</v>
      </c>
      <c r="F135" s="12">
        <f t="shared" si="1"/>
        <v>10920</v>
      </c>
      <c r="M135" s="10">
        <v>1965</v>
      </c>
      <c r="N135" s="9" t="s">
        <v>16</v>
      </c>
      <c r="O135" s="10">
        <v>2007</v>
      </c>
    </row>
    <row r="136" spans="3:15" s="9" customFormat="1" ht="12.75">
      <c r="C136" s="9">
        <v>4850576</v>
      </c>
      <c r="D136" s="164"/>
      <c r="E136" s="11">
        <v>4861496</v>
      </c>
      <c r="F136" s="12">
        <f t="shared" si="1"/>
        <v>10920</v>
      </c>
      <c r="G136" s="221" t="s">
        <v>76</v>
      </c>
      <c r="H136" s="162">
        <v>4861496</v>
      </c>
      <c r="K136" s="9">
        <v>299</v>
      </c>
      <c r="L136" s="9">
        <v>277</v>
      </c>
      <c r="M136" s="10">
        <v>1965</v>
      </c>
      <c r="N136" s="9" t="s">
        <v>16</v>
      </c>
      <c r="O136" s="10" t="s">
        <v>20</v>
      </c>
    </row>
    <row r="137" spans="3:15" s="9" customFormat="1" ht="12.75">
      <c r="C137" s="198">
        <v>4850581</v>
      </c>
      <c r="D137" s="164"/>
      <c r="E137" s="11">
        <v>4861501</v>
      </c>
      <c r="F137" s="200">
        <f t="shared" si="1"/>
        <v>10920</v>
      </c>
      <c r="H137" s="162"/>
      <c r="M137" s="10">
        <v>1965</v>
      </c>
      <c r="N137" s="198" t="s">
        <v>16</v>
      </c>
      <c r="O137" s="10">
        <v>2010</v>
      </c>
    </row>
    <row r="138" spans="3:15" s="9" customFormat="1" ht="12.75">
      <c r="C138" s="9">
        <v>4850582</v>
      </c>
      <c r="D138" s="57"/>
      <c r="E138" s="11">
        <v>4861502</v>
      </c>
      <c r="F138" s="12">
        <f t="shared" si="1"/>
        <v>10920</v>
      </c>
      <c r="K138" s="9">
        <v>299</v>
      </c>
      <c r="L138" s="9">
        <v>283</v>
      </c>
      <c r="M138" s="10">
        <v>1965</v>
      </c>
      <c r="N138" s="9" t="s">
        <v>16</v>
      </c>
      <c r="O138" s="10">
        <v>2007</v>
      </c>
    </row>
    <row r="139" spans="3:15" s="9" customFormat="1" ht="12.75">
      <c r="C139" s="9">
        <v>4850585</v>
      </c>
      <c r="D139" s="57"/>
      <c r="E139" s="11">
        <v>4861505</v>
      </c>
      <c r="F139" s="12">
        <f t="shared" si="1"/>
        <v>10920</v>
      </c>
      <c r="K139" s="9">
        <v>299</v>
      </c>
      <c r="L139" s="9">
        <v>286</v>
      </c>
      <c r="M139" s="10">
        <v>1965</v>
      </c>
      <c r="N139" s="9" t="s">
        <v>16</v>
      </c>
      <c r="O139" s="10">
        <v>2006</v>
      </c>
    </row>
    <row r="140" spans="2:15" s="9" customFormat="1" ht="12.75">
      <c r="B140" s="9" t="s">
        <v>77</v>
      </c>
      <c r="C140" s="9">
        <v>4850587</v>
      </c>
      <c r="D140" s="57"/>
      <c r="E140" s="11">
        <v>4861507</v>
      </c>
      <c r="F140" s="12">
        <f t="shared" si="1"/>
        <v>10920</v>
      </c>
      <c r="K140" s="9">
        <v>299</v>
      </c>
      <c r="L140" s="9">
        <v>288</v>
      </c>
      <c r="M140" s="10">
        <v>1965</v>
      </c>
      <c r="N140" s="9" t="s">
        <v>16</v>
      </c>
      <c r="O140" s="10">
        <v>2009</v>
      </c>
    </row>
    <row r="141" spans="2:15" s="9" customFormat="1" ht="12.75">
      <c r="B141" s="13"/>
      <c r="C141" s="9">
        <v>4850590</v>
      </c>
      <c r="D141" s="9">
        <v>4870452</v>
      </c>
      <c r="E141" s="63"/>
      <c r="F141" s="12"/>
      <c r="H141" s="11">
        <v>4864905</v>
      </c>
      <c r="I141" s="11"/>
      <c r="J141" s="11"/>
      <c r="K141" s="9">
        <f>590-291</f>
        <v>299</v>
      </c>
      <c r="L141" s="10">
        <v>291</v>
      </c>
      <c r="M141" s="10">
        <v>1965</v>
      </c>
      <c r="N141" s="9" t="s">
        <v>16</v>
      </c>
      <c r="O141" s="10">
        <v>2001</v>
      </c>
    </row>
    <row r="142" spans="2:15" s="9" customFormat="1" ht="12.75">
      <c r="B142" s="13"/>
      <c r="C142" s="9">
        <v>4850591</v>
      </c>
      <c r="D142" s="9">
        <v>4870827</v>
      </c>
      <c r="E142" s="63"/>
      <c r="F142" s="12"/>
      <c r="H142" s="11">
        <v>4864909</v>
      </c>
      <c r="I142" s="11"/>
      <c r="J142" s="11"/>
      <c r="K142" s="9">
        <v>299</v>
      </c>
      <c r="L142" s="10">
        <v>292</v>
      </c>
      <c r="M142" s="10">
        <v>1965</v>
      </c>
      <c r="N142" s="9" t="s">
        <v>16</v>
      </c>
      <c r="O142" s="10">
        <v>2008</v>
      </c>
    </row>
    <row r="143" spans="2:15" s="9" customFormat="1" ht="12.75">
      <c r="B143" s="13"/>
      <c r="C143" s="9">
        <v>4850592</v>
      </c>
      <c r="D143" s="9">
        <v>4870394</v>
      </c>
      <c r="E143" s="63"/>
      <c r="F143" s="12"/>
      <c r="H143" s="11">
        <v>4864846</v>
      </c>
      <c r="I143" s="11"/>
      <c r="J143" s="11"/>
      <c r="K143" s="9">
        <v>299</v>
      </c>
      <c r="L143" s="10">
        <v>293</v>
      </c>
      <c r="M143" s="10">
        <v>1965</v>
      </c>
      <c r="N143" s="9" t="s">
        <v>16</v>
      </c>
      <c r="O143" s="10" t="s">
        <v>20</v>
      </c>
    </row>
    <row r="144" spans="2:15" s="9" customFormat="1" ht="12.75">
      <c r="B144" s="13"/>
      <c r="C144" s="9">
        <v>4850594</v>
      </c>
      <c r="D144" s="9">
        <v>4870407</v>
      </c>
      <c r="E144" s="63"/>
      <c r="F144" s="12"/>
      <c r="G144" s="9">
        <v>4865000</v>
      </c>
      <c r="H144" s="11">
        <v>4864803</v>
      </c>
      <c r="I144" s="11"/>
      <c r="J144" s="11"/>
      <c r="K144" s="9">
        <v>299</v>
      </c>
      <c r="L144" s="10">
        <v>295</v>
      </c>
      <c r="M144" s="10">
        <v>1965</v>
      </c>
      <c r="N144" s="9" t="s">
        <v>16</v>
      </c>
      <c r="O144" s="10" t="s">
        <v>20</v>
      </c>
    </row>
    <row r="145" spans="2:15" s="9" customFormat="1" ht="12.75">
      <c r="B145" s="13"/>
      <c r="C145" s="9">
        <v>4850596</v>
      </c>
      <c r="E145" s="82">
        <v>4861511</v>
      </c>
      <c r="F145" s="12">
        <f>E145-C145</f>
        <v>10915</v>
      </c>
      <c r="H145" s="11"/>
      <c r="I145" s="11"/>
      <c r="J145" s="11"/>
      <c r="L145" s="10"/>
      <c r="M145" s="10"/>
      <c r="O145" s="10" t="s">
        <v>20</v>
      </c>
    </row>
    <row r="146" spans="2:15" s="9" customFormat="1" ht="12.75">
      <c r="B146" s="13"/>
      <c r="C146" s="9">
        <v>4850597</v>
      </c>
      <c r="E146" s="53">
        <v>4861512</v>
      </c>
      <c r="F146" s="12">
        <f>E146-C146</f>
        <v>10915</v>
      </c>
      <c r="H146" s="11"/>
      <c r="I146" s="11"/>
      <c r="J146" s="11"/>
      <c r="L146" s="10"/>
      <c r="M146" s="10"/>
      <c r="O146" s="13">
        <v>1986</v>
      </c>
    </row>
    <row r="147" spans="2:15" s="9" customFormat="1" ht="12.75">
      <c r="B147" s="13"/>
      <c r="C147" s="9">
        <v>4850604</v>
      </c>
      <c r="D147" s="10"/>
      <c r="E147" s="11">
        <v>4861519</v>
      </c>
      <c r="F147" s="12">
        <f>E147-C147</f>
        <v>10915</v>
      </c>
      <c r="M147" s="10"/>
      <c r="O147" s="10">
        <v>2007</v>
      </c>
    </row>
    <row r="148" spans="2:15" s="9" customFormat="1" ht="12.75">
      <c r="B148" s="13"/>
      <c r="C148" s="9">
        <v>4850606</v>
      </c>
      <c r="D148" s="10"/>
      <c r="E148" s="11">
        <v>4861521</v>
      </c>
      <c r="F148" s="12">
        <f>E148-C148</f>
        <v>10915</v>
      </c>
      <c r="K148" s="9">
        <v>299</v>
      </c>
      <c r="L148" s="9">
        <v>307</v>
      </c>
      <c r="M148" s="10">
        <v>1966</v>
      </c>
      <c r="N148" s="9" t="s">
        <v>16</v>
      </c>
      <c r="O148" s="10">
        <v>2008</v>
      </c>
    </row>
    <row r="149" spans="2:15" s="9" customFormat="1" ht="12.75">
      <c r="B149" s="13"/>
      <c r="C149" s="13" t="s">
        <v>78</v>
      </c>
      <c r="D149" s="10"/>
      <c r="E149" s="11">
        <v>4861523</v>
      </c>
      <c r="F149" s="12"/>
      <c r="L149" s="9">
        <v>309</v>
      </c>
      <c r="M149" s="10">
        <v>1966</v>
      </c>
      <c r="N149" s="9" t="s">
        <v>16</v>
      </c>
      <c r="O149" s="10">
        <v>2009</v>
      </c>
    </row>
    <row r="150" spans="3:15" s="9" customFormat="1" ht="12.75">
      <c r="C150" s="9">
        <v>4850612</v>
      </c>
      <c r="E150" s="11">
        <v>4861527</v>
      </c>
      <c r="F150" s="12">
        <f aca="true" t="shared" si="2" ref="F150:F155">E150-C150</f>
        <v>10915</v>
      </c>
      <c r="M150" s="10"/>
      <c r="O150" s="10">
        <v>2006</v>
      </c>
    </row>
    <row r="151" spans="3:15" s="9" customFormat="1" ht="12.75">
      <c r="C151" s="9">
        <v>4850614</v>
      </c>
      <c r="E151" s="11">
        <v>4861529</v>
      </c>
      <c r="F151" s="12">
        <f t="shared" si="2"/>
        <v>10915</v>
      </c>
      <c r="K151" s="9">
        <f>614-315</f>
        <v>299</v>
      </c>
      <c r="L151" s="9">
        <v>315</v>
      </c>
      <c r="M151" s="10">
        <v>1966</v>
      </c>
      <c r="N151" s="9" t="s">
        <v>16</v>
      </c>
      <c r="O151" s="10">
        <v>2006</v>
      </c>
    </row>
    <row r="152" spans="3:15" s="9" customFormat="1" ht="12.75">
      <c r="C152" s="198">
        <v>4850616</v>
      </c>
      <c r="E152" s="11">
        <v>4861531</v>
      </c>
      <c r="F152" s="200">
        <f t="shared" si="2"/>
        <v>10915</v>
      </c>
      <c r="K152" s="9">
        <v>299</v>
      </c>
      <c r="L152" s="198">
        <v>317</v>
      </c>
      <c r="M152" s="10">
        <v>1966</v>
      </c>
      <c r="N152" s="198" t="s">
        <v>16</v>
      </c>
      <c r="O152" s="10">
        <v>2009</v>
      </c>
    </row>
    <row r="153" spans="3:15" s="9" customFormat="1" ht="12.75">
      <c r="C153" s="9">
        <v>4850620</v>
      </c>
      <c r="E153" s="11">
        <v>4861534</v>
      </c>
      <c r="F153" s="12">
        <f t="shared" si="2"/>
        <v>10914</v>
      </c>
      <c r="M153" s="10">
        <v>1966</v>
      </c>
      <c r="N153" s="9" t="s">
        <v>16</v>
      </c>
      <c r="O153" s="10">
        <v>2006</v>
      </c>
    </row>
    <row r="154" spans="3:15" s="9" customFormat="1" ht="12.75">
      <c r="C154" s="198">
        <v>4850621</v>
      </c>
      <c r="E154" s="11">
        <v>4861535</v>
      </c>
      <c r="F154" s="200">
        <f t="shared" si="2"/>
        <v>10914</v>
      </c>
      <c r="M154" s="10">
        <v>1966</v>
      </c>
      <c r="N154" s="198" t="s">
        <v>16</v>
      </c>
      <c r="O154" s="10">
        <v>2010</v>
      </c>
    </row>
    <row r="155" spans="3:15" s="9" customFormat="1" ht="12.75">
      <c r="C155" s="9">
        <v>4850622</v>
      </c>
      <c r="E155" s="11">
        <v>4861536</v>
      </c>
      <c r="F155" s="12">
        <f t="shared" si="2"/>
        <v>10914</v>
      </c>
      <c r="M155" s="10">
        <v>1966</v>
      </c>
      <c r="N155" s="9" t="s">
        <v>16</v>
      </c>
      <c r="O155" s="10">
        <v>2007</v>
      </c>
    </row>
    <row r="156" spans="3:15" s="9" customFormat="1" ht="12.75">
      <c r="C156" s="9">
        <v>4850624</v>
      </c>
      <c r="D156" s="9">
        <v>4870351</v>
      </c>
      <c r="E156" s="63"/>
      <c r="F156" s="12"/>
      <c r="H156" s="137">
        <v>4864933</v>
      </c>
      <c r="K156" s="9">
        <v>299</v>
      </c>
      <c r="L156" s="9">
        <v>325</v>
      </c>
      <c r="M156" s="10">
        <v>1966</v>
      </c>
      <c r="N156" s="9" t="s">
        <v>16</v>
      </c>
      <c r="O156" s="10" t="s">
        <v>20</v>
      </c>
    </row>
    <row r="157" spans="3:15" s="9" customFormat="1" ht="12.75">
      <c r="C157" s="9">
        <v>4860633</v>
      </c>
      <c r="D157" s="9">
        <v>4870440</v>
      </c>
      <c r="E157" s="63"/>
      <c r="F157" s="12"/>
      <c r="H157" s="134">
        <v>4864899</v>
      </c>
      <c r="K157" s="9">
        <v>299</v>
      </c>
      <c r="L157" s="9">
        <v>334</v>
      </c>
      <c r="M157" s="10">
        <v>1966</v>
      </c>
      <c r="N157" s="9" t="s">
        <v>16</v>
      </c>
      <c r="O157" s="10" t="s">
        <v>20</v>
      </c>
    </row>
    <row r="158" spans="3:15" s="9" customFormat="1" ht="12.75">
      <c r="C158" s="9">
        <v>4850638</v>
      </c>
      <c r="E158" s="11">
        <v>4861549</v>
      </c>
      <c r="F158" s="12">
        <f>E158-C158</f>
        <v>10911</v>
      </c>
      <c r="K158" s="9">
        <f>638-339</f>
        <v>299</v>
      </c>
      <c r="L158" s="9">
        <v>339</v>
      </c>
      <c r="M158" s="10">
        <v>1966</v>
      </c>
      <c r="N158" s="9" t="s">
        <v>16</v>
      </c>
      <c r="O158" s="10">
        <v>2006</v>
      </c>
    </row>
    <row r="159" spans="3:15" s="9" customFormat="1" ht="12.75">
      <c r="C159" s="9">
        <v>4850639</v>
      </c>
      <c r="E159" s="11">
        <v>4861550</v>
      </c>
      <c r="F159" s="12">
        <f>E159-C159</f>
        <v>10911</v>
      </c>
      <c r="K159" s="9">
        <v>299</v>
      </c>
      <c r="L159" s="9">
        <v>340</v>
      </c>
      <c r="M159" s="10">
        <v>1966</v>
      </c>
      <c r="N159" s="9" t="s">
        <v>16</v>
      </c>
      <c r="O159" s="10">
        <v>2008</v>
      </c>
    </row>
    <row r="160" spans="3:18" s="9" customFormat="1" ht="12.75">
      <c r="C160" s="13">
        <v>4850642</v>
      </c>
      <c r="E160" s="11">
        <v>4861553</v>
      </c>
      <c r="F160" s="12">
        <f>E160-C160</f>
        <v>10911</v>
      </c>
      <c r="K160" s="9">
        <v>299</v>
      </c>
      <c r="L160" s="9">
        <v>343</v>
      </c>
      <c r="M160" s="10">
        <v>1966</v>
      </c>
      <c r="N160" s="9" t="s">
        <v>16</v>
      </c>
      <c r="O160" s="32">
        <v>2009</v>
      </c>
      <c r="R160" s="16"/>
    </row>
    <row r="161" spans="3:18" s="9" customFormat="1" ht="12.75">
      <c r="C161" s="13">
        <v>4850643</v>
      </c>
      <c r="D161" s="9">
        <v>4870447</v>
      </c>
      <c r="E161" s="63"/>
      <c r="F161" s="12"/>
      <c r="H161" s="137">
        <v>4864901</v>
      </c>
      <c r="K161" s="9">
        <v>299</v>
      </c>
      <c r="L161" s="9">
        <v>344</v>
      </c>
      <c r="M161" s="10">
        <v>1966</v>
      </c>
      <c r="N161" s="9" t="s">
        <v>16</v>
      </c>
      <c r="O161" s="32" t="s">
        <v>20</v>
      </c>
      <c r="R161" s="16"/>
    </row>
    <row r="162" spans="3:18" s="9" customFormat="1" ht="12.75">
      <c r="C162" s="13">
        <v>4850651</v>
      </c>
      <c r="D162" s="9">
        <v>4870840</v>
      </c>
      <c r="E162" s="63"/>
      <c r="F162" s="12"/>
      <c r="H162" s="137">
        <v>4864921</v>
      </c>
      <c r="K162" s="9">
        <v>299</v>
      </c>
      <c r="L162" s="9">
        <v>352</v>
      </c>
      <c r="M162" s="10">
        <v>1966</v>
      </c>
      <c r="N162" s="9" t="s">
        <v>16</v>
      </c>
      <c r="O162" s="32" t="s">
        <v>20</v>
      </c>
      <c r="R162" s="16"/>
    </row>
    <row r="163" spans="3:18" s="9" customFormat="1" ht="12.75">
      <c r="C163" s="13">
        <v>4850652</v>
      </c>
      <c r="D163" s="190" t="s">
        <v>23</v>
      </c>
      <c r="E163" s="63"/>
      <c r="F163" s="12"/>
      <c r="H163" s="137"/>
      <c r="M163" s="10"/>
      <c r="O163" s="32" t="s">
        <v>20</v>
      </c>
      <c r="R163" s="16"/>
    </row>
    <row r="164" spans="3:18" s="9" customFormat="1" ht="12.75">
      <c r="C164" s="13">
        <v>4850654</v>
      </c>
      <c r="D164" s="9">
        <v>4870439</v>
      </c>
      <c r="E164" s="63"/>
      <c r="F164" s="12"/>
      <c r="H164" s="97">
        <v>4864910</v>
      </c>
      <c r="K164" s="9">
        <v>299</v>
      </c>
      <c r="L164" s="9">
        <v>355</v>
      </c>
      <c r="M164" s="10">
        <v>1966</v>
      </c>
      <c r="N164" s="9" t="s">
        <v>16</v>
      </c>
      <c r="O164" s="32" t="s">
        <v>20</v>
      </c>
      <c r="R164" s="16"/>
    </row>
    <row r="165" spans="3:18" s="9" customFormat="1" ht="12.75">
      <c r="C165" s="13">
        <v>4850659</v>
      </c>
      <c r="D165" s="9">
        <v>4870434</v>
      </c>
      <c r="E165" s="63"/>
      <c r="F165" s="12"/>
      <c r="H165" s="97">
        <v>4864814</v>
      </c>
      <c r="K165" s="9">
        <v>299</v>
      </c>
      <c r="L165" s="9">
        <v>360</v>
      </c>
      <c r="M165" s="10">
        <v>1966</v>
      </c>
      <c r="N165" s="9" t="s">
        <v>16</v>
      </c>
      <c r="O165" s="32" t="s">
        <v>20</v>
      </c>
      <c r="R165" s="16"/>
    </row>
    <row r="166" spans="3:18" s="9" customFormat="1" ht="12.75">
      <c r="C166" s="13">
        <v>4850663</v>
      </c>
      <c r="D166" s="9">
        <v>4870345</v>
      </c>
      <c r="E166" s="63"/>
      <c r="F166" s="12"/>
      <c r="H166" s="90">
        <v>4864828</v>
      </c>
      <c r="I166" s="90"/>
      <c r="J166" s="90"/>
      <c r="K166" s="9">
        <v>299</v>
      </c>
      <c r="L166" s="9">
        <v>364</v>
      </c>
      <c r="M166" s="10">
        <v>1966</v>
      </c>
      <c r="N166" s="9" t="s">
        <v>16</v>
      </c>
      <c r="O166" s="32">
        <v>2008</v>
      </c>
      <c r="R166" s="16"/>
    </row>
    <row r="167" spans="3:18" s="9" customFormat="1" ht="12.75">
      <c r="C167" s="13">
        <v>4850664</v>
      </c>
      <c r="E167" s="11">
        <v>4861569</v>
      </c>
      <c r="F167" s="12">
        <f>E167-C167</f>
        <v>10905</v>
      </c>
      <c r="K167" s="9">
        <v>299</v>
      </c>
      <c r="L167" s="9">
        <v>365</v>
      </c>
      <c r="M167" s="10">
        <v>1966</v>
      </c>
      <c r="N167" s="9" t="s">
        <v>16</v>
      </c>
      <c r="O167" s="32">
        <v>2008</v>
      </c>
      <c r="R167" s="16"/>
    </row>
    <row r="168" spans="3:18" s="9" customFormat="1" ht="12.75">
      <c r="C168" s="13">
        <v>4850666</v>
      </c>
      <c r="E168" s="11">
        <v>4861571</v>
      </c>
      <c r="F168" s="12">
        <f>E168-C168</f>
        <v>10905</v>
      </c>
      <c r="K168" s="198">
        <v>299</v>
      </c>
      <c r="L168" s="198">
        <v>367</v>
      </c>
      <c r="M168" s="10">
        <v>1965</v>
      </c>
      <c r="N168" s="198" t="s">
        <v>16</v>
      </c>
      <c r="O168" s="32">
        <v>2009</v>
      </c>
      <c r="R168" s="16"/>
    </row>
    <row r="169" spans="3:18" s="9" customFormat="1" ht="12.75">
      <c r="C169" s="13">
        <v>4850667</v>
      </c>
      <c r="D169" s="9">
        <v>4870406</v>
      </c>
      <c r="E169" s="63"/>
      <c r="F169" s="12"/>
      <c r="H169" s="37">
        <v>4863996</v>
      </c>
      <c r="I169" s="37"/>
      <c r="L169" s="9">
        <v>368</v>
      </c>
      <c r="M169" s="10">
        <v>1966</v>
      </c>
      <c r="N169" s="9" t="s">
        <v>16</v>
      </c>
      <c r="O169" s="32">
        <v>2009</v>
      </c>
      <c r="R169" s="16"/>
    </row>
    <row r="170" spans="3:18" s="9" customFormat="1" ht="12.75">
      <c r="C170" s="13">
        <v>4850676</v>
      </c>
      <c r="D170" s="190" t="s">
        <v>23</v>
      </c>
      <c r="E170" s="63"/>
      <c r="F170" s="12"/>
      <c r="H170" s="37"/>
      <c r="I170" s="37"/>
      <c r="M170" s="10"/>
      <c r="O170" s="32" t="s">
        <v>20</v>
      </c>
      <c r="R170" s="16"/>
    </row>
    <row r="171" spans="2:18" s="9" customFormat="1" ht="12.75">
      <c r="B171" s="13" t="s">
        <v>79</v>
      </c>
      <c r="C171" s="13">
        <v>4850684</v>
      </c>
      <c r="E171" s="11">
        <v>4861587</v>
      </c>
      <c r="F171" s="12">
        <f>E171-C171</f>
        <v>10903</v>
      </c>
      <c r="K171" s="9">
        <f>684-385</f>
        <v>299</v>
      </c>
      <c r="L171" s="9">
        <v>385</v>
      </c>
      <c r="M171" s="10">
        <v>1966</v>
      </c>
      <c r="N171" s="9" t="s">
        <v>16</v>
      </c>
      <c r="O171" s="32">
        <v>2008</v>
      </c>
      <c r="R171" s="16"/>
    </row>
    <row r="172" spans="3:18" s="2" customFormat="1" ht="13.5" thickBot="1">
      <c r="C172" s="5">
        <v>4850699</v>
      </c>
      <c r="D172" s="2">
        <v>4870360</v>
      </c>
      <c r="E172" s="19"/>
      <c r="F172" s="172" t="s">
        <v>80</v>
      </c>
      <c r="G172" s="175">
        <v>4865002</v>
      </c>
      <c r="H172" s="3">
        <v>4864805</v>
      </c>
      <c r="I172" s="3"/>
      <c r="J172" s="3"/>
      <c r="K172" s="2">
        <v>299</v>
      </c>
      <c r="L172" s="2">
        <v>400</v>
      </c>
      <c r="M172" s="6">
        <v>1966</v>
      </c>
      <c r="N172" s="2" t="s">
        <v>16</v>
      </c>
      <c r="O172" s="20">
        <v>2004</v>
      </c>
      <c r="R172" s="15"/>
    </row>
    <row r="173" spans="3:18" s="9" customFormat="1" ht="12.75">
      <c r="C173" s="13">
        <v>4850702</v>
      </c>
      <c r="E173" s="11">
        <v>4861604</v>
      </c>
      <c r="F173" s="12">
        <f>E173-C173</f>
        <v>10902</v>
      </c>
      <c r="K173" s="9">
        <f>702-335</f>
        <v>367</v>
      </c>
      <c r="L173" s="9">
        <v>150335</v>
      </c>
      <c r="M173" s="10">
        <v>1965</v>
      </c>
      <c r="N173" s="9" t="s">
        <v>37</v>
      </c>
      <c r="O173" s="10">
        <v>2007</v>
      </c>
      <c r="R173" s="16"/>
    </row>
    <row r="174" spans="3:18" s="9" customFormat="1" ht="12.75">
      <c r="C174" s="13">
        <v>4850712</v>
      </c>
      <c r="E174" s="11">
        <v>4861612</v>
      </c>
      <c r="F174" s="12">
        <f>E174-C174</f>
        <v>10900</v>
      </c>
      <c r="K174" s="9">
        <v>367</v>
      </c>
      <c r="L174" s="9">
        <v>150345</v>
      </c>
      <c r="M174" s="10">
        <v>1965</v>
      </c>
      <c r="N174" s="9" t="s">
        <v>37</v>
      </c>
      <c r="O174" s="10">
        <v>2009</v>
      </c>
      <c r="R174" s="16"/>
    </row>
    <row r="175" spans="3:18" s="9" customFormat="1" ht="12.75">
      <c r="C175" s="13">
        <v>4850722</v>
      </c>
      <c r="D175" s="9">
        <v>4870364</v>
      </c>
      <c r="E175" s="63"/>
      <c r="F175" s="12"/>
      <c r="H175" s="137">
        <v>4864934</v>
      </c>
      <c r="K175" s="9">
        <v>367</v>
      </c>
      <c r="L175" s="9">
        <v>150355</v>
      </c>
      <c r="M175" s="10">
        <v>1965</v>
      </c>
      <c r="N175" s="9" t="s">
        <v>37</v>
      </c>
      <c r="O175" s="10" t="s">
        <v>20</v>
      </c>
      <c r="R175" s="16"/>
    </row>
    <row r="176" spans="3:18" s="9" customFormat="1" ht="12.75">
      <c r="C176" s="13">
        <v>4850723</v>
      </c>
      <c r="D176" s="9">
        <v>4870370</v>
      </c>
      <c r="E176" s="63"/>
      <c r="F176" s="12"/>
      <c r="H176" s="93">
        <v>4863994</v>
      </c>
      <c r="K176" s="9">
        <v>367</v>
      </c>
      <c r="L176" s="9">
        <v>150356</v>
      </c>
      <c r="M176" s="10">
        <v>1965</v>
      </c>
      <c r="N176" s="9" t="s">
        <v>37</v>
      </c>
      <c r="O176" s="10">
        <v>2012</v>
      </c>
      <c r="R176" s="16"/>
    </row>
    <row r="177" spans="3:18" s="9" customFormat="1" ht="12.75">
      <c r="C177" s="13">
        <v>4850737</v>
      </c>
      <c r="E177" s="11">
        <v>4861632</v>
      </c>
      <c r="F177" s="12">
        <f>E177-C177</f>
        <v>10895</v>
      </c>
      <c r="H177" s="93"/>
      <c r="K177" s="198">
        <v>367</v>
      </c>
      <c r="L177" s="198">
        <v>150370</v>
      </c>
      <c r="M177" s="13" t="s">
        <v>81</v>
      </c>
      <c r="N177" s="198" t="s">
        <v>37</v>
      </c>
      <c r="O177" s="10" t="s">
        <v>82</v>
      </c>
      <c r="R177" s="16"/>
    </row>
    <row r="178" spans="3:18" s="9" customFormat="1" ht="12.75">
      <c r="C178" s="13">
        <v>4850741</v>
      </c>
      <c r="E178" s="11">
        <v>4861634</v>
      </c>
      <c r="F178" s="12">
        <f>E178-C178</f>
        <v>10893</v>
      </c>
      <c r="K178" s="9">
        <f>741-374</f>
        <v>367</v>
      </c>
      <c r="L178" s="9">
        <v>150374</v>
      </c>
      <c r="M178" s="10">
        <v>1965</v>
      </c>
      <c r="N178" s="9" t="s">
        <v>37</v>
      </c>
      <c r="O178" s="10">
        <v>2008</v>
      </c>
      <c r="R178" s="16"/>
    </row>
    <row r="179" spans="3:15" s="9" customFormat="1" ht="12.75">
      <c r="C179" s="9">
        <v>4850746</v>
      </c>
      <c r="E179" s="11">
        <v>4861638</v>
      </c>
      <c r="F179" s="12">
        <f>E179-C179</f>
        <v>10892</v>
      </c>
      <c r="L179" s="10" t="s">
        <v>83</v>
      </c>
      <c r="M179" s="10">
        <v>1965</v>
      </c>
      <c r="N179" s="9" t="s">
        <v>37</v>
      </c>
      <c r="O179" s="10">
        <v>2007</v>
      </c>
    </row>
    <row r="180" spans="3:15" s="9" customFormat="1" ht="12.75">
      <c r="C180" s="13">
        <v>4850758</v>
      </c>
      <c r="E180" s="11">
        <v>4861650</v>
      </c>
      <c r="F180" s="12">
        <f>E180-C180</f>
        <v>10892</v>
      </c>
      <c r="K180" s="9">
        <f>758-391</f>
        <v>367</v>
      </c>
      <c r="L180" s="10">
        <v>150391</v>
      </c>
      <c r="M180" s="10">
        <v>1965</v>
      </c>
      <c r="N180" s="198" t="s">
        <v>37</v>
      </c>
      <c r="O180" s="10">
        <v>2010</v>
      </c>
    </row>
    <row r="181" spans="3:15" s="9" customFormat="1" ht="12.75">
      <c r="C181" s="9">
        <v>4850761</v>
      </c>
      <c r="D181" s="9">
        <v>4870445</v>
      </c>
      <c r="E181" s="63"/>
      <c r="F181" s="12"/>
      <c r="H181" s="137">
        <v>4864900</v>
      </c>
      <c r="K181" s="9">
        <v>367</v>
      </c>
      <c r="L181" s="10">
        <v>150394</v>
      </c>
      <c r="M181" s="10">
        <v>1965</v>
      </c>
      <c r="N181" s="9" t="s">
        <v>37</v>
      </c>
      <c r="O181" s="10" t="s">
        <v>20</v>
      </c>
    </row>
    <row r="182" spans="3:15" s="9" customFormat="1" ht="12.75">
      <c r="C182" s="9">
        <v>4850763</v>
      </c>
      <c r="E182" s="11">
        <v>4861654</v>
      </c>
      <c r="F182" s="12">
        <f>E182-C182</f>
        <v>10891</v>
      </c>
      <c r="K182" s="9">
        <f>763-396</f>
        <v>367</v>
      </c>
      <c r="L182" s="10">
        <v>150396</v>
      </c>
      <c r="M182" s="10">
        <v>1965</v>
      </c>
      <c r="N182" s="9" t="s">
        <v>37</v>
      </c>
      <c r="O182" s="10">
        <v>2008</v>
      </c>
    </row>
    <row r="183" spans="3:15" s="9" customFormat="1" ht="12.75">
      <c r="C183" s="9">
        <v>4850774</v>
      </c>
      <c r="E183" s="11">
        <v>4861664</v>
      </c>
      <c r="F183" s="12">
        <f>E183-C183</f>
        <v>10890</v>
      </c>
      <c r="K183" s="9">
        <v>367</v>
      </c>
      <c r="L183" s="10">
        <v>150407</v>
      </c>
      <c r="M183" s="10">
        <v>1965</v>
      </c>
      <c r="N183" s="9" t="s">
        <v>37</v>
      </c>
      <c r="O183" s="10">
        <v>2009</v>
      </c>
    </row>
    <row r="184" spans="3:15" s="9" customFormat="1" ht="12.75">
      <c r="C184" s="9">
        <v>4850780</v>
      </c>
      <c r="E184" s="11">
        <v>4861669</v>
      </c>
      <c r="F184" s="12">
        <f>E184-C184</f>
        <v>10889</v>
      </c>
      <c r="M184" s="10">
        <v>1965</v>
      </c>
      <c r="N184" s="9" t="s">
        <v>37</v>
      </c>
      <c r="O184" s="10" t="s">
        <v>84</v>
      </c>
    </row>
    <row r="185" spans="3:15" s="9" customFormat="1" ht="12.75">
      <c r="C185" s="9">
        <v>4850783</v>
      </c>
      <c r="D185" s="9">
        <v>4870378</v>
      </c>
      <c r="E185" s="63"/>
      <c r="F185" s="12"/>
      <c r="H185" s="11">
        <v>4864843</v>
      </c>
      <c r="I185" s="11"/>
      <c r="J185" s="11"/>
      <c r="K185" s="9">
        <v>367</v>
      </c>
      <c r="L185" s="9">
        <v>150416</v>
      </c>
      <c r="M185" s="10">
        <v>1965</v>
      </c>
      <c r="N185" s="9" t="s">
        <v>37</v>
      </c>
      <c r="O185" s="10">
        <v>2001</v>
      </c>
    </row>
    <row r="186" spans="3:15" s="9" customFormat="1" ht="12.75">
      <c r="C186" s="198">
        <v>4850787</v>
      </c>
      <c r="E186" s="201">
        <v>4861674</v>
      </c>
      <c r="F186" s="12">
        <f>E186-C186</f>
        <v>10887</v>
      </c>
      <c r="H186" s="11"/>
      <c r="I186" s="11"/>
      <c r="J186" s="11"/>
      <c r="M186" s="10">
        <v>1965</v>
      </c>
      <c r="N186" s="198" t="s">
        <v>37</v>
      </c>
      <c r="O186" s="10">
        <v>2009</v>
      </c>
    </row>
    <row r="187" spans="3:15" s="9" customFormat="1" ht="12.75">
      <c r="C187" s="9">
        <v>4850788</v>
      </c>
      <c r="E187" s="11">
        <v>4861675</v>
      </c>
      <c r="F187" s="12">
        <f>E187-C187</f>
        <v>10887</v>
      </c>
      <c r="M187" s="10"/>
      <c r="O187" s="10">
        <v>2006</v>
      </c>
    </row>
    <row r="188" spans="3:15" s="9" customFormat="1" ht="12.75">
      <c r="C188" s="9">
        <v>4850795</v>
      </c>
      <c r="E188" s="11">
        <v>4861681</v>
      </c>
      <c r="F188" s="12">
        <f>E188-C188</f>
        <v>10886</v>
      </c>
      <c r="M188" s="10">
        <v>1965</v>
      </c>
      <c r="N188" s="9" t="s">
        <v>37</v>
      </c>
      <c r="O188" s="10">
        <v>2008</v>
      </c>
    </row>
    <row r="189" spans="3:15" s="9" customFormat="1" ht="12.75">
      <c r="C189" s="9">
        <v>4850797</v>
      </c>
      <c r="E189" s="11">
        <v>4861683</v>
      </c>
      <c r="F189" s="12">
        <f>E189-C189</f>
        <v>10886</v>
      </c>
      <c r="M189" s="10"/>
      <c r="O189" s="10">
        <v>2005</v>
      </c>
    </row>
    <row r="190" spans="3:15" s="9" customFormat="1" ht="12.75">
      <c r="C190" s="13" t="s">
        <v>85</v>
      </c>
      <c r="E190" s="11">
        <v>4861687</v>
      </c>
      <c r="F190" s="12">
        <v>10886</v>
      </c>
      <c r="K190" s="9">
        <f>801-434</f>
        <v>367</v>
      </c>
      <c r="L190" s="9">
        <v>150434</v>
      </c>
      <c r="M190" s="10">
        <v>1965</v>
      </c>
      <c r="N190" s="9" t="s">
        <v>37</v>
      </c>
      <c r="O190" s="10">
        <v>2006</v>
      </c>
    </row>
    <row r="191" spans="3:15" s="9" customFormat="1" ht="12.75">
      <c r="C191" s="13">
        <v>4850811</v>
      </c>
      <c r="D191" s="9">
        <v>4870416</v>
      </c>
      <c r="E191" s="63"/>
      <c r="F191" s="12"/>
      <c r="H191" s="134">
        <v>4864885</v>
      </c>
      <c r="K191" s="9">
        <v>367</v>
      </c>
      <c r="L191" s="9">
        <v>150444</v>
      </c>
      <c r="M191" s="10">
        <v>1965</v>
      </c>
      <c r="N191" s="9" t="s">
        <v>37</v>
      </c>
      <c r="O191" s="10" t="s">
        <v>20</v>
      </c>
    </row>
    <row r="192" spans="3:15" s="9" customFormat="1" ht="12.75">
      <c r="C192" s="13">
        <v>4850819</v>
      </c>
      <c r="E192" s="11">
        <v>4861704</v>
      </c>
      <c r="F192" s="12">
        <v>10885</v>
      </c>
      <c r="H192" s="134"/>
      <c r="M192" s="10">
        <v>1965</v>
      </c>
      <c r="N192" s="198" t="s">
        <v>37</v>
      </c>
      <c r="O192" s="10">
        <v>2012</v>
      </c>
    </row>
    <row r="193" spans="3:15" s="9" customFormat="1" ht="12.75">
      <c r="C193" s="9">
        <v>4850820</v>
      </c>
      <c r="E193" s="11">
        <v>4861705</v>
      </c>
      <c r="F193" s="12">
        <f>E193-C193</f>
        <v>10885</v>
      </c>
      <c r="K193" s="9">
        <f>820-453</f>
        <v>367</v>
      </c>
      <c r="L193" s="9">
        <v>150453</v>
      </c>
      <c r="M193" s="10">
        <v>1965</v>
      </c>
      <c r="N193" s="9" t="s">
        <v>37</v>
      </c>
      <c r="O193" s="10">
        <v>2007</v>
      </c>
    </row>
    <row r="194" spans="3:15" s="9" customFormat="1" ht="12.75">
      <c r="C194" s="9">
        <v>4850824</v>
      </c>
      <c r="E194" s="11">
        <v>4861709</v>
      </c>
      <c r="F194" s="12">
        <f>E194-C194</f>
        <v>10885</v>
      </c>
      <c r="M194" s="10"/>
      <c r="O194" s="10">
        <v>2004</v>
      </c>
    </row>
    <row r="195" spans="3:15" s="9" customFormat="1" ht="12.75">
      <c r="C195" s="9">
        <v>4850830</v>
      </c>
      <c r="E195" s="11">
        <v>4861714</v>
      </c>
      <c r="F195" s="12">
        <f>E195-C195</f>
        <v>10884</v>
      </c>
      <c r="M195" s="10">
        <v>1965</v>
      </c>
      <c r="N195" s="9" t="s">
        <v>37</v>
      </c>
      <c r="O195" s="10">
        <v>2007</v>
      </c>
    </row>
    <row r="196" spans="3:15" s="9" customFormat="1" ht="12.75">
      <c r="C196" s="9">
        <v>4850833</v>
      </c>
      <c r="D196" s="9">
        <v>4870390</v>
      </c>
      <c r="E196" s="123"/>
      <c r="F196" s="12"/>
      <c r="H196" s="97">
        <v>4864829</v>
      </c>
      <c r="K196" s="97">
        <f>833-366</f>
        <v>467</v>
      </c>
      <c r="L196" s="97">
        <v>150366</v>
      </c>
      <c r="M196" s="10">
        <v>1965</v>
      </c>
      <c r="N196" s="9" t="s">
        <v>37</v>
      </c>
      <c r="O196" s="10" t="s">
        <v>20</v>
      </c>
    </row>
    <row r="197" spans="3:15" s="9" customFormat="1" ht="12.75">
      <c r="C197" s="9">
        <v>4850841</v>
      </c>
      <c r="D197" s="9">
        <v>4870338</v>
      </c>
      <c r="E197" s="123"/>
      <c r="F197" s="12"/>
      <c r="H197" s="82">
        <v>4864866</v>
      </c>
      <c r="I197" s="82"/>
      <c r="K197" s="9">
        <f>841-474</f>
        <v>367</v>
      </c>
      <c r="L197" s="9">
        <v>150474</v>
      </c>
      <c r="M197" s="10">
        <v>1965</v>
      </c>
      <c r="N197" s="9" t="s">
        <v>37</v>
      </c>
      <c r="O197" s="10" t="s">
        <v>48</v>
      </c>
    </row>
    <row r="198" spans="3:15" s="9" customFormat="1" ht="12.75">
      <c r="C198" s="9">
        <v>4850842</v>
      </c>
      <c r="E198" s="11">
        <v>4861723</v>
      </c>
      <c r="F198" s="12">
        <f>E198-C198</f>
        <v>10881</v>
      </c>
      <c r="K198" s="9">
        <v>367</v>
      </c>
      <c r="L198" s="198">
        <v>150475</v>
      </c>
      <c r="M198" s="10">
        <v>1965</v>
      </c>
      <c r="N198" s="198" t="s">
        <v>37</v>
      </c>
      <c r="O198" s="10" t="s">
        <v>86</v>
      </c>
    </row>
    <row r="199" spans="3:15" s="9" customFormat="1" ht="12.75">
      <c r="C199" s="9">
        <v>4850857</v>
      </c>
      <c r="D199" s="9">
        <v>4870831</v>
      </c>
      <c r="E199" s="123"/>
      <c r="F199" s="12"/>
      <c r="H199" s="11">
        <v>4864913</v>
      </c>
      <c r="I199" s="11"/>
      <c r="J199" s="11"/>
      <c r="M199" s="10">
        <v>1966</v>
      </c>
      <c r="N199" s="9" t="s">
        <v>37</v>
      </c>
      <c r="O199" s="10">
        <v>2007</v>
      </c>
    </row>
    <row r="200" spans="3:15" s="9" customFormat="1" ht="12.75">
      <c r="C200" s="9">
        <v>4850865</v>
      </c>
      <c r="E200" s="11">
        <v>4861744</v>
      </c>
      <c r="F200" s="12">
        <f>E200-C200</f>
        <v>10879</v>
      </c>
      <c r="H200" s="11"/>
      <c r="I200" s="11"/>
      <c r="J200" s="11"/>
      <c r="M200" s="10">
        <v>1966</v>
      </c>
      <c r="N200" s="9" t="s">
        <v>37</v>
      </c>
      <c r="O200" s="10">
        <v>2006</v>
      </c>
    </row>
    <row r="201" spans="3:15" s="9" customFormat="1" ht="12.75">
      <c r="C201" s="9">
        <v>4850867</v>
      </c>
      <c r="D201" s="10">
        <v>4870340</v>
      </c>
      <c r="E201" s="123"/>
      <c r="F201" s="12"/>
      <c r="H201" s="11">
        <v>4864868</v>
      </c>
      <c r="I201" s="11"/>
      <c r="J201" s="11"/>
      <c r="K201" s="9">
        <v>367</v>
      </c>
      <c r="L201" s="9">
        <v>150500</v>
      </c>
      <c r="M201" s="10">
        <v>1966</v>
      </c>
      <c r="N201" s="9" t="s">
        <v>37</v>
      </c>
      <c r="O201" s="10" t="s">
        <v>51</v>
      </c>
    </row>
    <row r="202" spans="3:15" s="9" customFormat="1" ht="12.75">
      <c r="C202" s="9">
        <v>4850873</v>
      </c>
      <c r="E202" s="11">
        <v>4861750</v>
      </c>
      <c r="F202" s="12">
        <f>E202-C202</f>
        <v>10877</v>
      </c>
      <c r="H202" s="11"/>
      <c r="I202" s="11"/>
      <c r="J202" s="11"/>
      <c r="K202" s="9">
        <f>873-506</f>
        <v>367</v>
      </c>
      <c r="L202" s="9">
        <v>150506</v>
      </c>
      <c r="M202" s="13" t="s">
        <v>87</v>
      </c>
      <c r="N202" s="9" t="s">
        <v>37</v>
      </c>
      <c r="O202" s="10" t="s">
        <v>88</v>
      </c>
    </row>
    <row r="203" spans="3:15" s="9" customFormat="1" ht="12.75">
      <c r="C203" s="9">
        <v>4850874</v>
      </c>
      <c r="E203" s="11">
        <v>4861751</v>
      </c>
      <c r="F203" s="12">
        <f>E203-C203</f>
        <v>10877</v>
      </c>
      <c r="M203" s="10">
        <v>1966</v>
      </c>
      <c r="N203" s="9" t="s">
        <v>37</v>
      </c>
      <c r="O203" s="10">
        <v>2000</v>
      </c>
    </row>
    <row r="204" spans="3:15" s="9" customFormat="1" ht="12.75">
      <c r="C204" s="9">
        <v>4850875</v>
      </c>
      <c r="E204" s="11">
        <v>4861752</v>
      </c>
      <c r="F204" s="12">
        <f>E204-C204</f>
        <v>10877</v>
      </c>
      <c r="M204" s="13" t="s">
        <v>87</v>
      </c>
      <c r="N204" s="9" t="s">
        <v>37</v>
      </c>
      <c r="O204" s="10">
        <v>2008</v>
      </c>
    </row>
    <row r="205" spans="3:15" s="9" customFormat="1" ht="12.75">
      <c r="C205" s="9">
        <v>4850876</v>
      </c>
      <c r="E205" s="11">
        <v>4861753</v>
      </c>
      <c r="F205" s="12">
        <f>E205-C205</f>
        <v>10877</v>
      </c>
      <c r="K205" s="9">
        <v>367</v>
      </c>
      <c r="L205" s="9">
        <v>150509</v>
      </c>
      <c r="M205" s="13">
        <v>1966</v>
      </c>
      <c r="N205" s="9" t="s">
        <v>37</v>
      </c>
      <c r="O205" s="10" t="s">
        <v>30</v>
      </c>
    </row>
    <row r="206" spans="3:15" s="9" customFormat="1" ht="12.75">
      <c r="C206" s="9">
        <v>4850879</v>
      </c>
      <c r="D206" s="163"/>
      <c r="E206" s="11">
        <v>4861756</v>
      </c>
      <c r="F206" s="12">
        <f>E206-C206</f>
        <v>10877</v>
      </c>
      <c r="G206" s="10"/>
      <c r="M206" s="13"/>
      <c r="O206" s="10" t="s">
        <v>75</v>
      </c>
    </row>
    <row r="207" spans="3:15" s="9" customFormat="1" ht="12.75">
      <c r="C207" s="9">
        <v>4850886</v>
      </c>
      <c r="D207" s="9">
        <v>4870835</v>
      </c>
      <c r="E207" s="63"/>
      <c r="F207" s="12"/>
      <c r="H207" s="137">
        <v>4864917</v>
      </c>
      <c r="K207" s="9">
        <f>886-519</f>
        <v>367</v>
      </c>
      <c r="L207" s="9">
        <v>150519</v>
      </c>
      <c r="M207" s="13">
        <v>1966</v>
      </c>
      <c r="N207" s="9" t="s">
        <v>37</v>
      </c>
      <c r="O207" s="10" t="s">
        <v>20</v>
      </c>
    </row>
    <row r="208" spans="3:15" s="9" customFormat="1" ht="12.75">
      <c r="C208" s="198">
        <v>4850892</v>
      </c>
      <c r="E208" s="11">
        <v>4861768</v>
      </c>
      <c r="F208" s="12">
        <f>E208-C208</f>
        <v>10876</v>
      </c>
      <c r="H208" s="137"/>
      <c r="K208" s="9">
        <v>367</v>
      </c>
      <c r="L208" s="9">
        <v>150525</v>
      </c>
      <c r="M208" s="13" t="s">
        <v>89</v>
      </c>
      <c r="N208" s="198" t="s">
        <v>37</v>
      </c>
      <c r="O208" s="10">
        <v>2011</v>
      </c>
    </row>
    <row r="209" spans="3:15" s="9" customFormat="1" ht="12.75">
      <c r="C209" s="9">
        <v>4850893</v>
      </c>
      <c r="D209" s="9">
        <v>4870828</v>
      </c>
      <c r="E209" s="63"/>
      <c r="F209" s="12"/>
      <c r="H209" s="137">
        <v>4864910</v>
      </c>
      <c r="K209" s="9">
        <f>893-526</f>
        <v>367</v>
      </c>
      <c r="L209" s="9">
        <v>150526</v>
      </c>
      <c r="M209" s="13">
        <v>1966</v>
      </c>
      <c r="N209" s="9" t="s">
        <v>37</v>
      </c>
      <c r="O209" s="10" t="s">
        <v>20</v>
      </c>
    </row>
    <row r="210" spans="3:15" s="9" customFormat="1" ht="12.75">
      <c r="C210" s="9">
        <v>4850898</v>
      </c>
      <c r="E210" s="11">
        <v>4861772</v>
      </c>
      <c r="F210" s="12">
        <f>E210-C210</f>
        <v>10874</v>
      </c>
      <c r="M210" s="13"/>
      <c r="O210" s="10" t="s">
        <v>75</v>
      </c>
    </row>
    <row r="211" spans="2:15" s="9" customFormat="1" ht="12.75">
      <c r="B211" s="10" t="s">
        <v>24</v>
      </c>
      <c r="C211" s="9">
        <v>4850900</v>
      </c>
      <c r="D211" s="9">
        <v>4870346</v>
      </c>
      <c r="E211" s="63"/>
      <c r="F211" s="12"/>
      <c r="G211" s="9" t="s">
        <v>90</v>
      </c>
      <c r="H211" s="11">
        <v>4864806</v>
      </c>
      <c r="I211" s="11"/>
      <c r="J211" s="11"/>
      <c r="K211" s="9">
        <v>367</v>
      </c>
      <c r="L211" s="9">
        <v>150533</v>
      </c>
      <c r="M211" s="10">
        <v>1966</v>
      </c>
      <c r="N211" s="9" t="s">
        <v>37</v>
      </c>
      <c r="O211" s="10">
        <v>2008</v>
      </c>
    </row>
    <row r="212" spans="2:15" s="9" customFormat="1" ht="12.75">
      <c r="B212" s="10"/>
      <c r="C212" s="9">
        <v>4850902</v>
      </c>
      <c r="D212" s="9">
        <v>4870350</v>
      </c>
      <c r="E212" s="63"/>
      <c r="F212" s="12"/>
      <c r="H212" s="11">
        <v>4864845</v>
      </c>
      <c r="I212" s="11"/>
      <c r="J212" s="11"/>
      <c r="K212" s="9">
        <v>367</v>
      </c>
      <c r="L212" s="9">
        <v>150535</v>
      </c>
      <c r="M212" s="10">
        <v>1966</v>
      </c>
      <c r="N212" s="9" t="s">
        <v>37</v>
      </c>
      <c r="O212" s="10" t="s">
        <v>20</v>
      </c>
    </row>
    <row r="213" spans="3:15" s="9" customFormat="1" ht="12.75">
      <c r="C213" s="9">
        <v>4850904</v>
      </c>
      <c r="E213" s="11">
        <v>4861776</v>
      </c>
      <c r="F213" s="12">
        <f>E213-C213</f>
        <v>10872</v>
      </c>
      <c r="K213" s="9">
        <f>904-537</f>
        <v>367</v>
      </c>
      <c r="L213" s="9">
        <v>150537</v>
      </c>
      <c r="M213" s="10">
        <v>1966</v>
      </c>
      <c r="N213" s="9" t="s">
        <v>37</v>
      </c>
      <c r="O213" s="10">
        <v>2002</v>
      </c>
    </row>
    <row r="214" spans="3:15" s="9" customFormat="1" ht="12.75">
      <c r="C214" s="9">
        <v>4850906</v>
      </c>
      <c r="E214" s="11">
        <v>4861778</v>
      </c>
      <c r="F214" s="12">
        <f>E214-C214</f>
        <v>10872</v>
      </c>
      <c r="M214" s="10">
        <v>1966</v>
      </c>
      <c r="N214" s="9" t="s">
        <v>37</v>
      </c>
      <c r="O214" s="10">
        <v>2006</v>
      </c>
    </row>
    <row r="215" spans="3:15" s="9" customFormat="1" ht="12.75">
      <c r="C215" s="9">
        <v>4850907</v>
      </c>
      <c r="E215" s="11">
        <v>4861779</v>
      </c>
      <c r="F215" s="12">
        <f>E215-C215</f>
        <v>10872</v>
      </c>
      <c r="K215" s="9">
        <f>907-540</f>
        <v>367</v>
      </c>
      <c r="L215" s="9">
        <v>150540</v>
      </c>
      <c r="M215" s="10">
        <v>1966</v>
      </c>
      <c r="N215" s="9" t="s">
        <v>37</v>
      </c>
      <c r="O215" s="10">
        <v>2008</v>
      </c>
    </row>
    <row r="216" spans="3:15" s="9" customFormat="1" ht="12.75">
      <c r="C216" s="9">
        <v>4850910</v>
      </c>
      <c r="E216" s="11">
        <v>4861782</v>
      </c>
      <c r="F216" s="12">
        <v>10872</v>
      </c>
      <c r="K216" s="9">
        <v>367</v>
      </c>
      <c r="L216" s="9">
        <v>150543</v>
      </c>
      <c r="M216" s="10">
        <v>1966</v>
      </c>
      <c r="N216" s="9" t="s">
        <v>37</v>
      </c>
      <c r="O216" s="10">
        <v>2008</v>
      </c>
    </row>
    <row r="217" spans="3:15" s="9" customFormat="1" ht="12.75">
      <c r="C217" s="9">
        <v>4850912</v>
      </c>
      <c r="E217" s="11">
        <v>4861784</v>
      </c>
      <c r="F217" s="12">
        <v>10872</v>
      </c>
      <c r="K217" s="9">
        <v>367</v>
      </c>
      <c r="L217" s="9">
        <v>150545</v>
      </c>
      <c r="M217" s="10">
        <v>1966</v>
      </c>
      <c r="N217" s="9" t="s">
        <v>37</v>
      </c>
      <c r="O217" s="10" t="s">
        <v>51</v>
      </c>
    </row>
    <row r="218" spans="3:15" s="9" customFormat="1" ht="12.75">
      <c r="C218" s="9">
        <v>4850913</v>
      </c>
      <c r="D218" s="9">
        <v>4870428</v>
      </c>
      <c r="E218" s="78"/>
      <c r="F218" s="12"/>
      <c r="G218" s="9">
        <v>4865001</v>
      </c>
      <c r="H218" s="97">
        <v>4864804</v>
      </c>
      <c r="K218" s="9">
        <v>367</v>
      </c>
      <c r="L218" s="9">
        <v>150546</v>
      </c>
      <c r="M218" s="10">
        <v>1966</v>
      </c>
      <c r="N218" s="9" t="s">
        <v>37</v>
      </c>
      <c r="O218" s="10" t="s">
        <v>20</v>
      </c>
    </row>
    <row r="219" spans="3:15" s="9" customFormat="1" ht="12.75">
      <c r="C219" s="9">
        <v>4850917</v>
      </c>
      <c r="D219" s="9">
        <v>4870444</v>
      </c>
      <c r="E219" s="78"/>
      <c r="F219" s="12"/>
      <c r="H219" s="11">
        <v>4864858</v>
      </c>
      <c r="I219" s="11"/>
      <c r="J219" s="11"/>
      <c r="K219" s="9">
        <v>367</v>
      </c>
      <c r="L219" s="9">
        <v>150550</v>
      </c>
      <c r="M219" s="10">
        <v>1966</v>
      </c>
      <c r="N219" s="9" t="s">
        <v>37</v>
      </c>
      <c r="O219" s="10">
        <v>2008</v>
      </c>
    </row>
    <row r="220" spans="3:15" s="9" customFormat="1" ht="12.75">
      <c r="C220" s="9">
        <v>4850918</v>
      </c>
      <c r="D220" s="9">
        <v>4870829</v>
      </c>
      <c r="E220" s="78"/>
      <c r="F220" s="12"/>
      <c r="H220" s="11">
        <v>4864911</v>
      </c>
      <c r="I220" s="11"/>
      <c r="J220" s="11"/>
      <c r="K220" s="9">
        <v>367</v>
      </c>
      <c r="L220" s="9">
        <v>150551</v>
      </c>
      <c r="M220" s="10">
        <v>1966</v>
      </c>
      <c r="N220" s="9" t="s">
        <v>37</v>
      </c>
      <c r="O220" s="10" t="s">
        <v>20</v>
      </c>
    </row>
    <row r="221" spans="3:15" s="9" customFormat="1" ht="12.75">
      <c r="C221" s="198">
        <v>4850919</v>
      </c>
      <c r="E221" s="11">
        <v>4861788</v>
      </c>
      <c r="F221" s="12">
        <f>E221-C221</f>
        <v>10869</v>
      </c>
      <c r="H221" s="11"/>
      <c r="I221" s="11"/>
      <c r="J221" s="11"/>
      <c r="K221" s="198">
        <v>367</v>
      </c>
      <c r="L221" s="198">
        <v>150552</v>
      </c>
      <c r="M221" s="10">
        <v>1966</v>
      </c>
      <c r="N221" s="198" t="s">
        <v>37</v>
      </c>
      <c r="O221" s="10">
        <v>2009</v>
      </c>
    </row>
    <row r="222" spans="3:15" s="9" customFormat="1" ht="12.75">
      <c r="C222" s="198">
        <v>4850921</v>
      </c>
      <c r="E222" s="11">
        <v>4861790</v>
      </c>
      <c r="F222" s="12">
        <f>E222-C222</f>
        <v>10869</v>
      </c>
      <c r="H222" s="11"/>
      <c r="I222" s="11"/>
      <c r="J222" s="11"/>
      <c r="K222" s="198">
        <v>367</v>
      </c>
      <c r="L222" s="198">
        <v>150554</v>
      </c>
      <c r="M222" s="13" t="s">
        <v>91</v>
      </c>
      <c r="N222" s="198" t="s">
        <v>37</v>
      </c>
      <c r="O222" s="10">
        <v>2011</v>
      </c>
    </row>
    <row r="223" spans="3:15" s="9" customFormat="1" ht="12.75">
      <c r="C223" s="9">
        <v>4850926</v>
      </c>
      <c r="E223" s="11">
        <v>4861793</v>
      </c>
      <c r="F223" s="12">
        <f>E223-C223</f>
        <v>10867</v>
      </c>
      <c r="M223" s="10">
        <v>1966</v>
      </c>
      <c r="N223" s="9" t="s">
        <v>37</v>
      </c>
      <c r="O223" s="10">
        <v>2007</v>
      </c>
    </row>
    <row r="224" spans="3:15" s="9" customFormat="1" ht="12.75">
      <c r="C224" s="9">
        <v>4850929</v>
      </c>
      <c r="E224" s="11">
        <v>4861796</v>
      </c>
      <c r="F224" s="12">
        <f>E224-C224</f>
        <v>10867</v>
      </c>
      <c r="K224" s="9">
        <v>367</v>
      </c>
      <c r="L224" s="9">
        <v>150562</v>
      </c>
      <c r="M224" s="13" t="s">
        <v>91</v>
      </c>
      <c r="N224" s="9" t="s">
        <v>92</v>
      </c>
      <c r="O224" s="10">
        <v>2008</v>
      </c>
    </row>
    <row r="225" spans="3:15" s="9" customFormat="1" ht="12.75">
      <c r="C225" s="9">
        <v>4850931</v>
      </c>
      <c r="D225" s="9">
        <v>4870408</v>
      </c>
      <c r="E225" s="78"/>
      <c r="F225" s="12"/>
      <c r="H225" s="11">
        <v>4864882</v>
      </c>
      <c r="I225" s="11"/>
      <c r="J225" s="11"/>
      <c r="K225" s="9">
        <f>931-564</f>
        <v>367</v>
      </c>
      <c r="L225" s="9">
        <v>150564</v>
      </c>
      <c r="M225" s="10">
        <v>1966</v>
      </c>
      <c r="N225" s="9" t="s">
        <v>37</v>
      </c>
      <c r="O225" s="10">
        <v>2008</v>
      </c>
    </row>
    <row r="226" spans="3:15" s="9" customFormat="1" ht="12.75">
      <c r="C226" s="198">
        <v>4850932</v>
      </c>
      <c r="E226" s="11">
        <v>4861798</v>
      </c>
      <c r="F226" s="12">
        <f>E226-C226</f>
        <v>10866</v>
      </c>
      <c r="H226" s="11"/>
      <c r="I226" s="11"/>
      <c r="J226" s="11"/>
      <c r="K226" s="198">
        <v>367</v>
      </c>
      <c r="L226" s="198">
        <v>150565</v>
      </c>
      <c r="M226" s="10">
        <v>1966</v>
      </c>
      <c r="N226" s="198" t="s">
        <v>37</v>
      </c>
      <c r="O226" s="10">
        <v>2011</v>
      </c>
    </row>
    <row r="227" spans="3:15" s="9" customFormat="1" ht="12.75">
      <c r="C227" s="9">
        <v>4850940</v>
      </c>
      <c r="D227" s="9">
        <v>4870343</v>
      </c>
      <c r="E227" s="78"/>
      <c r="F227" s="12"/>
      <c r="H227" s="11">
        <v>4864834</v>
      </c>
      <c r="I227" s="11"/>
      <c r="J227" s="11"/>
      <c r="K227" s="9">
        <f>940-573</f>
        <v>367</v>
      </c>
      <c r="L227" s="9">
        <v>150573</v>
      </c>
      <c r="M227" s="10">
        <v>1966</v>
      </c>
      <c r="N227" s="9" t="s">
        <v>37</v>
      </c>
      <c r="O227" s="10" t="s">
        <v>20</v>
      </c>
    </row>
    <row r="228" spans="3:15" s="9" customFormat="1" ht="12.75">
      <c r="C228" s="9">
        <v>4850941</v>
      </c>
      <c r="E228" s="11">
        <v>4861806</v>
      </c>
      <c r="F228" s="12">
        <f aca="true" t="shared" si="3" ref="F228:F235">E228-C228</f>
        <v>10865</v>
      </c>
      <c r="H228" s="11"/>
      <c r="I228" s="11"/>
      <c r="J228" s="11"/>
      <c r="M228" s="13" t="s">
        <v>93</v>
      </c>
      <c r="N228" s="9" t="s">
        <v>37</v>
      </c>
      <c r="O228" s="10">
        <v>2008</v>
      </c>
    </row>
    <row r="229" spans="3:15" s="9" customFormat="1" ht="12.75">
      <c r="C229" s="9">
        <v>4850948</v>
      </c>
      <c r="E229" s="11">
        <v>4861813</v>
      </c>
      <c r="F229" s="12">
        <f t="shared" si="3"/>
        <v>10865</v>
      </c>
      <c r="K229" s="9">
        <f>948-581</f>
        <v>367</v>
      </c>
      <c r="L229" s="9">
        <v>150581</v>
      </c>
      <c r="M229" s="10">
        <v>1966</v>
      </c>
      <c r="N229" s="9" t="s">
        <v>37</v>
      </c>
      <c r="O229" s="10">
        <v>2006</v>
      </c>
    </row>
    <row r="230" spans="3:15" s="2" customFormat="1" ht="13.5" thickBot="1">
      <c r="C230" s="2">
        <v>4850949</v>
      </c>
      <c r="E230" s="3">
        <v>4861814</v>
      </c>
      <c r="F230" s="4">
        <f t="shared" si="3"/>
        <v>10865</v>
      </c>
      <c r="M230" s="5" t="s">
        <v>94</v>
      </c>
      <c r="N230" s="2" t="s">
        <v>37</v>
      </c>
      <c r="O230" s="6">
        <v>2008</v>
      </c>
    </row>
    <row r="231" spans="3:15" s="9" customFormat="1" ht="12.75">
      <c r="C231" s="198">
        <v>4850954</v>
      </c>
      <c r="E231" s="11">
        <v>4861819</v>
      </c>
      <c r="F231" s="200">
        <f t="shared" si="3"/>
        <v>10865</v>
      </c>
      <c r="K231" s="9">
        <f>1954-959</f>
        <v>995</v>
      </c>
      <c r="L231" s="198">
        <v>25959</v>
      </c>
      <c r="M231" s="13" t="s">
        <v>95</v>
      </c>
      <c r="N231" s="198" t="s">
        <v>96</v>
      </c>
      <c r="O231" s="10">
        <v>2011</v>
      </c>
    </row>
    <row r="232" spans="3:15" s="9" customFormat="1" ht="12.75">
      <c r="C232" s="9">
        <v>4850955</v>
      </c>
      <c r="E232" s="9">
        <v>4861820</v>
      </c>
      <c r="F232" s="12">
        <f t="shared" si="3"/>
        <v>10865</v>
      </c>
      <c r="M232" s="10">
        <v>1968</v>
      </c>
      <c r="N232" s="9" t="s">
        <v>96</v>
      </c>
      <c r="O232" s="10"/>
    </row>
    <row r="233" spans="3:15" s="9" customFormat="1" ht="12.75">
      <c r="C233" s="9">
        <v>4850956</v>
      </c>
      <c r="E233" s="11">
        <v>4861821</v>
      </c>
      <c r="F233" s="12">
        <f t="shared" si="3"/>
        <v>10865</v>
      </c>
      <c r="M233" s="10"/>
      <c r="O233" s="10">
        <v>2006</v>
      </c>
    </row>
    <row r="234" spans="3:15" s="9" customFormat="1" ht="12.75">
      <c r="C234" s="9">
        <v>4850964</v>
      </c>
      <c r="E234" s="11">
        <v>4861829</v>
      </c>
      <c r="F234" s="12">
        <f t="shared" si="3"/>
        <v>10865</v>
      </c>
      <c r="M234" s="10">
        <v>1968</v>
      </c>
      <c r="N234" s="9" t="s">
        <v>97</v>
      </c>
      <c r="O234" s="10">
        <v>2007</v>
      </c>
    </row>
    <row r="235" spans="3:15" s="9" customFormat="1" ht="12.75">
      <c r="C235" s="13">
        <v>4850978</v>
      </c>
      <c r="E235" s="11">
        <v>4861840</v>
      </c>
      <c r="F235" s="12">
        <f t="shared" si="3"/>
        <v>10862</v>
      </c>
      <c r="J235" s="16"/>
      <c r="K235" s="9">
        <f>1978-983</f>
        <v>995</v>
      </c>
      <c r="L235" s="10">
        <v>25983</v>
      </c>
      <c r="M235" s="10">
        <v>1968</v>
      </c>
      <c r="N235" s="198" t="s">
        <v>97</v>
      </c>
      <c r="O235" s="10">
        <v>2010</v>
      </c>
    </row>
    <row r="236" spans="3:15" s="9" customFormat="1" ht="12.75">
      <c r="C236" s="9">
        <v>4850989</v>
      </c>
      <c r="D236" s="9">
        <v>4870441</v>
      </c>
      <c r="E236" s="78"/>
      <c r="F236" s="12"/>
      <c r="H236" s="82">
        <v>4864857</v>
      </c>
      <c r="I236" s="82"/>
      <c r="K236" s="9">
        <f>1989-994</f>
        <v>995</v>
      </c>
      <c r="L236" s="9">
        <v>25994</v>
      </c>
      <c r="M236" s="10">
        <v>1968</v>
      </c>
      <c r="N236" s="9" t="s">
        <v>97</v>
      </c>
      <c r="O236" s="10" t="s">
        <v>51</v>
      </c>
    </row>
    <row r="237" spans="3:15" s="9" customFormat="1" ht="12.75">
      <c r="C237" s="9">
        <v>4850994</v>
      </c>
      <c r="E237" s="53">
        <v>4861855</v>
      </c>
      <c r="F237" s="12">
        <f aca="true" t="shared" si="4" ref="F237:F242">E237-C237</f>
        <v>10861</v>
      </c>
      <c r="M237" s="10"/>
      <c r="O237" s="10">
        <v>1995</v>
      </c>
    </row>
    <row r="238" spans="3:15" s="9" customFormat="1" ht="12.75">
      <c r="C238" s="9">
        <v>4851009</v>
      </c>
      <c r="E238" s="11">
        <v>4861870</v>
      </c>
      <c r="F238" s="12">
        <f t="shared" si="4"/>
        <v>10861</v>
      </c>
      <c r="M238" s="10">
        <v>1968</v>
      </c>
      <c r="N238" s="9" t="s">
        <v>97</v>
      </c>
      <c r="O238" s="10">
        <v>2006</v>
      </c>
    </row>
    <row r="239" spans="1:15" s="9" customFormat="1" ht="12.75">
      <c r="A239" s="9" t="s">
        <v>98</v>
      </c>
      <c r="B239" s="9" t="s">
        <v>1</v>
      </c>
      <c r="C239" s="9">
        <v>4851012</v>
      </c>
      <c r="E239" s="11">
        <v>4861873</v>
      </c>
      <c r="F239" s="12">
        <f t="shared" si="4"/>
        <v>10861</v>
      </c>
      <c r="M239" s="10">
        <v>1968</v>
      </c>
      <c r="N239" s="9" t="s">
        <v>97</v>
      </c>
      <c r="O239" s="10">
        <v>2008</v>
      </c>
    </row>
    <row r="240" spans="1:15" s="9" customFormat="1" ht="12.75">
      <c r="A240" s="9" t="s">
        <v>98</v>
      </c>
      <c r="C240" s="9">
        <v>4851013</v>
      </c>
      <c r="E240" s="11">
        <v>4861874</v>
      </c>
      <c r="F240" s="12">
        <f t="shared" si="4"/>
        <v>10861</v>
      </c>
      <c r="G240" s="9" t="s">
        <v>99</v>
      </c>
      <c r="J240" s="9" t="s">
        <v>100</v>
      </c>
      <c r="L240" s="10" t="s">
        <v>101</v>
      </c>
      <c r="M240" s="114" t="s">
        <v>102</v>
      </c>
      <c r="N240" s="9" t="s">
        <v>97</v>
      </c>
      <c r="O240" s="10">
        <v>2007</v>
      </c>
    </row>
    <row r="241" spans="3:15" s="9" customFormat="1" ht="12.75">
      <c r="C241" s="9">
        <v>4851015</v>
      </c>
      <c r="E241" s="11">
        <v>4861876</v>
      </c>
      <c r="F241" s="12">
        <f t="shared" si="4"/>
        <v>10861</v>
      </c>
      <c r="G241" s="16"/>
      <c r="M241" s="10">
        <v>1968</v>
      </c>
      <c r="N241" s="9" t="s">
        <v>97</v>
      </c>
      <c r="O241" s="10">
        <v>2007</v>
      </c>
    </row>
    <row r="242" spans="3:15" s="9" customFormat="1" ht="12.75">
      <c r="C242" s="9">
        <v>4851019</v>
      </c>
      <c r="E242" s="11">
        <v>4861880</v>
      </c>
      <c r="F242" s="12">
        <f t="shared" si="4"/>
        <v>10861</v>
      </c>
      <c r="G242" s="16"/>
      <c r="M242" s="13" t="s">
        <v>102</v>
      </c>
      <c r="N242" s="9" t="s">
        <v>97</v>
      </c>
      <c r="O242" s="10">
        <v>2008</v>
      </c>
    </row>
    <row r="243" spans="3:15" s="9" customFormat="1" ht="12.75">
      <c r="C243" s="9">
        <v>4851022</v>
      </c>
      <c r="E243" s="11">
        <v>4861883</v>
      </c>
      <c r="F243" s="12">
        <v>10861</v>
      </c>
      <c r="G243" s="16"/>
      <c r="M243" s="10">
        <v>1968</v>
      </c>
      <c r="N243" s="9" t="s">
        <v>96</v>
      </c>
      <c r="O243" s="10">
        <v>2006</v>
      </c>
    </row>
    <row r="244" spans="3:15" s="9" customFormat="1" ht="12.75">
      <c r="C244" s="198">
        <v>4851024</v>
      </c>
      <c r="E244" s="11">
        <v>4861885</v>
      </c>
      <c r="F244" s="12">
        <v>10861</v>
      </c>
      <c r="G244" s="16"/>
      <c r="J244" s="9" t="s">
        <v>103</v>
      </c>
      <c r="L244" s="10">
        <v>25685</v>
      </c>
      <c r="M244" s="10">
        <v>1968</v>
      </c>
      <c r="N244" s="198" t="s">
        <v>96</v>
      </c>
      <c r="O244" s="10">
        <v>2010</v>
      </c>
    </row>
    <row r="245" spans="3:15" s="9" customFormat="1" ht="12.75">
      <c r="C245" s="9">
        <v>4851028</v>
      </c>
      <c r="E245" s="11">
        <v>4861889</v>
      </c>
      <c r="F245" s="12">
        <v>10861</v>
      </c>
      <c r="G245" s="16"/>
      <c r="M245" s="13" t="s">
        <v>102</v>
      </c>
      <c r="N245" s="9" t="s">
        <v>97</v>
      </c>
      <c r="O245" s="10"/>
    </row>
    <row r="246" spans="3:15" s="9" customFormat="1" ht="12.75">
      <c r="C246" s="9">
        <v>4851032</v>
      </c>
      <c r="E246" s="11">
        <v>4861893</v>
      </c>
      <c r="F246" s="12">
        <f aca="true" t="shared" si="5" ref="F246:F264">E246-C246</f>
        <v>10861</v>
      </c>
      <c r="M246" s="10">
        <v>1968</v>
      </c>
      <c r="N246" s="9" t="s">
        <v>97</v>
      </c>
      <c r="O246" s="10">
        <v>2004</v>
      </c>
    </row>
    <row r="247" spans="3:15" s="9" customFormat="1" ht="12.75">
      <c r="C247" s="198">
        <v>4851035</v>
      </c>
      <c r="E247" s="11">
        <v>4861896</v>
      </c>
      <c r="F247" s="12">
        <f t="shared" si="5"/>
        <v>10861</v>
      </c>
      <c r="J247" s="9" t="s">
        <v>104</v>
      </c>
      <c r="L247" s="10" t="s">
        <v>105</v>
      </c>
      <c r="M247" s="13" t="s">
        <v>102</v>
      </c>
      <c r="N247" s="198" t="s">
        <v>97</v>
      </c>
      <c r="O247" s="10">
        <v>2011</v>
      </c>
    </row>
    <row r="248" spans="3:15" s="9" customFormat="1" ht="12.75">
      <c r="C248" s="9">
        <v>4851040</v>
      </c>
      <c r="E248" s="11">
        <v>4861901</v>
      </c>
      <c r="F248" s="12">
        <f t="shared" si="5"/>
        <v>10861</v>
      </c>
      <c r="M248" s="13" t="s">
        <v>106</v>
      </c>
      <c r="N248" s="9" t="s">
        <v>97</v>
      </c>
      <c r="O248" s="10">
        <v>2008</v>
      </c>
    </row>
    <row r="249" spans="3:15" s="9" customFormat="1" ht="12.75">
      <c r="C249" s="9">
        <v>4851041</v>
      </c>
      <c r="E249" s="11">
        <v>4861902</v>
      </c>
      <c r="F249" s="12">
        <f t="shared" si="5"/>
        <v>10861</v>
      </c>
      <c r="M249" s="13" t="s">
        <v>106</v>
      </c>
      <c r="N249" s="9" t="s">
        <v>97</v>
      </c>
      <c r="O249" s="10">
        <v>2008</v>
      </c>
    </row>
    <row r="250" spans="3:15" s="9" customFormat="1" ht="12.75">
      <c r="C250" s="9">
        <v>4851046</v>
      </c>
      <c r="E250" s="9">
        <v>4861907</v>
      </c>
      <c r="F250" s="12">
        <f t="shared" si="5"/>
        <v>10861</v>
      </c>
      <c r="M250" s="10">
        <v>1968</v>
      </c>
      <c r="N250" s="9" t="s">
        <v>97</v>
      </c>
      <c r="O250" s="10"/>
    </row>
    <row r="251" spans="3:15" s="9" customFormat="1" ht="12.75">
      <c r="C251" s="198">
        <v>4851048</v>
      </c>
      <c r="E251" s="201">
        <v>4861909</v>
      </c>
      <c r="F251" s="200">
        <f t="shared" si="5"/>
        <v>10861</v>
      </c>
      <c r="M251" s="10">
        <v>1968</v>
      </c>
      <c r="N251" s="198" t="s">
        <v>97</v>
      </c>
      <c r="O251" s="10">
        <v>2012</v>
      </c>
    </row>
    <row r="252" spans="3:15" s="2" customFormat="1" ht="13.5" thickBot="1">
      <c r="C252" s="2">
        <v>4851049</v>
      </c>
      <c r="E252" s="2">
        <v>4861910</v>
      </c>
      <c r="F252" s="4">
        <f t="shared" si="5"/>
        <v>10861</v>
      </c>
      <c r="M252" s="6">
        <v>1968</v>
      </c>
      <c r="O252" s="6"/>
    </row>
    <row r="253" spans="3:15" s="9" customFormat="1" ht="12.75">
      <c r="C253" s="9">
        <v>4851051</v>
      </c>
      <c r="E253" s="37">
        <v>4861912</v>
      </c>
      <c r="F253" s="12">
        <f t="shared" si="5"/>
        <v>10861</v>
      </c>
      <c r="M253" s="10">
        <v>1968</v>
      </c>
      <c r="N253" s="9" t="s">
        <v>16</v>
      </c>
      <c r="O253" s="10">
        <v>2009</v>
      </c>
    </row>
    <row r="254" spans="3:15" s="9" customFormat="1" ht="12.75">
      <c r="C254" s="9">
        <v>4851052</v>
      </c>
      <c r="E254" s="11">
        <v>4861913</v>
      </c>
      <c r="F254" s="12">
        <f t="shared" si="5"/>
        <v>10861</v>
      </c>
      <c r="K254" s="9">
        <f>1052-196</f>
        <v>856</v>
      </c>
      <c r="L254" s="9">
        <v>196</v>
      </c>
      <c r="M254" s="10">
        <v>1968</v>
      </c>
      <c r="N254" s="9" t="s">
        <v>16</v>
      </c>
      <c r="O254" s="10">
        <v>2008</v>
      </c>
    </row>
    <row r="255" spans="3:15" s="9" customFormat="1" ht="12.75">
      <c r="C255" s="9">
        <v>4851055</v>
      </c>
      <c r="E255" s="11">
        <v>4861916</v>
      </c>
      <c r="F255" s="12">
        <f t="shared" si="5"/>
        <v>10861</v>
      </c>
      <c r="K255" s="9">
        <v>856</v>
      </c>
      <c r="L255" s="9">
        <v>199</v>
      </c>
      <c r="M255" s="10">
        <v>1968</v>
      </c>
      <c r="N255" s="9" t="s">
        <v>16</v>
      </c>
      <c r="O255" s="10">
        <v>2008</v>
      </c>
    </row>
    <row r="256" spans="3:15" s="9" customFormat="1" ht="12.75">
      <c r="C256" s="9">
        <v>4851060</v>
      </c>
      <c r="E256" s="11">
        <v>4861921</v>
      </c>
      <c r="F256" s="12">
        <f t="shared" si="5"/>
        <v>10861</v>
      </c>
      <c r="K256" s="9">
        <v>856</v>
      </c>
      <c r="L256" s="9">
        <v>204</v>
      </c>
      <c r="M256" s="10">
        <v>1968</v>
      </c>
      <c r="N256" s="9" t="s">
        <v>16</v>
      </c>
      <c r="O256" s="10">
        <v>2008</v>
      </c>
    </row>
    <row r="257" spans="3:15" s="9" customFormat="1" ht="12.75">
      <c r="C257" s="9">
        <v>4851061</v>
      </c>
      <c r="E257" s="53">
        <v>4861922</v>
      </c>
      <c r="F257" s="12">
        <f t="shared" si="5"/>
        <v>10861</v>
      </c>
      <c r="K257" s="9">
        <v>856</v>
      </c>
      <c r="L257" s="198">
        <v>205</v>
      </c>
      <c r="M257" s="10">
        <v>1968</v>
      </c>
      <c r="N257" s="198" t="s">
        <v>16</v>
      </c>
      <c r="O257" s="10" t="s">
        <v>107</v>
      </c>
    </row>
    <row r="258" spans="3:15" s="9" customFormat="1" ht="12.75">
      <c r="C258" s="9">
        <v>4851067</v>
      </c>
      <c r="E258" s="11">
        <v>4861928</v>
      </c>
      <c r="F258" s="12">
        <f t="shared" si="5"/>
        <v>10861</v>
      </c>
      <c r="M258" s="10"/>
      <c r="O258" s="10">
        <v>2005</v>
      </c>
    </row>
    <row r="259" spans="2:15" s="9" customFormat="1" ht="12.75">
      <c r="B259" s="9" t="s">
        <v>77</v>
      </c>
      <c r="C259" s="9">
        <v>4851070</v>
      </c>
      <c r="E259" s="11">
        <v>4861931</v>
      </c>
      <c r="F259" s="12">
        <f t="shared" si="5"/>
        <v>10861</v>
      </c>
      <c r="K259" s="9">
        <v>856</v>
      </c>
      <c r="L259" s="9">
        <v>214</v>
      </c>
      <c r="M259" s="10">
        <v>1968</v>
      </c>
      <c r="N259" s="9" t="s">
        <v>16</v>
      </c>
      <c r="O259" s="10">
        <v>2009</v>
      </c>
    </row>
    <row r="260" spans="3:15" s="9" customFormat="1" ht="12.75">
      <c r="C260" s="9">
        <v>4851071</v>
      </c>
      <c r="E260" s="11">
        <v>4861932</v>
      </c>
      <c r="F260" s="12">
        <f t="shared" si="5"/>
        <v>10861</v>
      </c>
      <c r="K260" s="9">
        <v>856</v>
      </c>
      <c r="L260" s="9">
        <v>215</v>
      </c>
      <c r="M260" s="10">
        <v>1968</v>
      </c>
      <c r="N260" s="9" t="s">
        <v>16</v>
      </c>
      <c r="O260" s="10">
        <v>2008</v>
      </c>
    </row>
    <row r="261" spans="3:15" s="9" customFormat="1" ht="12.75">
      <c r="C261" s="9">
        <v>4851072</v>
      </c>
      <c r="E261" s="9">
        <v>4861933</v>
      </c>
      <c r="F261" s="12">
        <f t="shared" si="5"/>
        <v>10861</v>
      </c>
      <c r="M261" s="10">
        <v>1968</v>
      </c>
      <c r="N261" s="9" t="s">
        <v>16</v>
      </c>
      <c r="O261" s="10"/>
    </row>
    <row r="262" spans="3:15" s="9" customFormat="1" ht="12.75">
      <c r="C262" s="9">
        <v>4851073</v>
      </c>
      <c r="E262" s="9">
        <v>4861934</v>
      </c>
      <c r="F262" s="12">
        <f t="shared" si="5"/>
        <v>10861</v>
      </c>
      <c r="M262" s="10"/>
      <c r="O262" s="10" t="s">
        <v>75</v>
      </c>
    </row>
    <row r="263" spans="3:15" s="9" customFormat="1" ht="12.75">
      <c r="C263" s="9">
        <v>4851077</v>
      </c>
      <c r="E263" s="62">
        <v>4861938</v>
      </c>
      <c r="F263" s="12">
        <f t="shared" si="5"/>
        <v>10861</v>
      </c>
      <c r="K263" s="9">
        <v>856</v>
      </c>
      <c r="L263" s="9">
        <v>221</v>
      </c>
      <c r="M263" s="10">
        <v>1968</v>
      </c>
      <c r="N263" s="9" t="s">
        <v>16</v>
      </c>
      <c r="O263" s="10">
        <v>2008</v>
      </c>
    </row>
    <row r="264" spans="3:15" s="9" customFormat="1" ht="12.75">
      <c r="C264" s="9">
        <v>4851085</v>
      </c>
      <c r="E264" s="53">
        <v>4861946</v>
      </c>
      <c r="F264" s="12">
        <f t="shared" si="5"/>
        <v>10861</v>
      </c>
      <c r="M264" s="10">
        <v>1968</v>
      </c>
      <c r="N264" s="9" t="s">
        <v>16</v>
      </c>
      <c r="O264" s="10" t="s">
        <v>108</v>
      </c>
    </row>
    <row r="265" spans="3:15" s="9" customFormat="1" ht="12.75">
      <c r="C265" s="9">
        <v>4851087</v>
      </c>
      <c r="E265" s="9">
        <v>4861948</v>
      </c>
      <c r="F265" s="12">
        <v>10861</v>
      </c>
      <c r="K265" s="9">
        <v>856</v>
      </c>
      <c r="L265" s="9">
        <v>231</v>
      </c>
      <c r="M265" s="10">
        <v>1968</v>
      </c>
      <c r="N265" s="9" t="s">
        <v>16</v>
      </c>
      <c r="O265" s="10"/>
    </row>
    <row r="266" spans="3:15" s="9" customFormat="1" ht="12.75">
      <c r="C266" s="9">
        <v>4851088</v>
      </c>
      <c r="E266" s="11">
        <v>4861949</v>
      </c>
      <c r="F266" s="12">
        <v>10861</v>
      </c>
      <c r="K266" s="9">
        <f>1088-232</f>
        <v>856</v>
      </c>
      <c r="L266" s="9">
        <v>232</v>
      </c>
      <c r="M266" s="10">
        <v>1968</v>
      </c>
      <c r="N266" s="9" t="s">
        <v>16</v>
      </c>
      <c r="O266" s="10">
        <v>2006</v>
      </c>
    </row>
    <row r="267" spans="3:15" s="9" customFormat="1" ht="12.75">
      <c r="C267" s="9">
        <v>4851092</v>
      </c>
      <c r="E267" s="11">
        <v>4861953</v>
      </c>
      <c r="F267" s="12">
        <f aca="true" t="shared" si="6" ref="F267:F272">E267-C267</f>
        <v>10861</v>
      </c>
      <c r="M267" s="10"/>
      <c r="O267" s="10">
        <v>2006</v>
      </c>
    </row>
    <row r="268" spans="3:15" s="9" customFormat="1" ht="12.75">
      <c r="C268" s="9">
        <v>4851094</v>
      </c>
      <c r="E268" s="11">
        <v>4861955</v>
      </c>
      <c r="F268" s="12">
        <f t="shared" si="6"/>
        <v>10861</v>
      </c>
      <c r="K268" s="9">
        <v>856</v>
      </c>
      <c r="L268" s="9">
        <v>238</v>
      </c>
      <c r="M268" s="10">
        <v>1968</v>
      </c>
      <c r="N268" s="9" t="s">
        <v>16</v>
      </c>
      <c r="O268" s="10" t="s">
        <v>30</v>
      </c>
    </row>
    <row r="269" spans="3:15" s="9" customFormat="1" ht="12.75">
      <c r="C269" s="198">
        <v>4851098</v>
      </c>
      <c r="D269" s="9" t="s">
        <v>24</v>
      </c>
      <c r="E269" s="11">
        <v>4861959</v>
      </c>
      <c r="F269" s="12">
        <f t="shared" si="6"/>
        <v>10861</v>
      </c>
      <c r="K269" s="9">
        <v>856</v>
      </c>
      <c r="L269" s="198">
        <v>242</v>
      </c>
      <c r="M269" s="10">
        <v>1968</v>
      </c>
      <c r="N269" s="198" t="s">
        <v>16</v>
      </c>
      <c r="O269" s="10">
        <v>2010</v>
      </c>
    </row>
    <row r="270" spans="2:15" s="9" customFormat="1" ht="12.75">
      <c r="B270" s="9" t="s">
        <v>77</v>
      </c>
      <c r="C270" s="9">
        <v>4851101</v>
      </c>
      <c r="E270" s="11">
        <v>4861962</v>
      </c>
      <c r="F270" s="12">
        <f t="shared" si="6"/>
        <v>10861</v>
      </c>
      <c r="M270" s="10">
        <v>1968</v>
      </c>
      <c r="N270" s="9" t="s">
        <v>16</v>
      </c>
      <c r="O270" s="10" t="s">
        <v>109</v>
      </c>
    </row>
    <row r="271" spans="3:15" s="9" customFormat="1" ht="12.75">
      <c r="C271" s="9">
        <v>4851102</v>
      </c>
      <c r="E271" s="11">
        <v>4861963</v>
      </c>
      <c r="F271" s="12">
        <f t="shared" si="6"/>
        <v>10861</v>
      </c>
      <c r="K271" s="9">
        <f>1102-246</f>
        <v>856</v>
      </c>
      <c r="L271" s="9">
        <v>246</v>
      </c>
      <c r="M271" s="10">
        <v>1968</v>
      </c>
      <c r="N271" s="9" t="s">
        <v>16</v>
      </c>
      <c r="O271" s="10">
        <v>2008</v>
      </c>
    </row>
    <row r="272" spans="3:15" s="9" customFormat="1" ht="12.75">
      <c r="C272" s="167">
        <v>4851104</v>
      </c>
      <c r="D272" s="167"/>
      <c r="E272" s="167">
        <v>4861965</v>
      </c>
      <c r="F272" s="12">
        <f t="shared" si="6"/>
        <v>10861</v>
      </c>
      <c r="M272" s="10"/>
      <c r="O272" s="10"/>
    </row>
    <row r="273" spans="1:15" s="9" customFormat="1" ht="12.75">
      <c r="A273" s="9" t="s">
        <v>110</v>
      </c>
      <c r="C273" s="13">
        <v>4851105</v>
      </c>
      <c r="D273" s="13">
        <v>4870003</v>
      </c>
      <c r="E273" s="60"/>
      <c r="F273" s="12">
        <v>102</v>
      </c>
      <c r="H273" s="93">
        <v>4863988</v>
      </c>
      <c r="K273" s="9">
        <v>856</v>
      </c>
      <c r="L273" s="9">
        <v>249</v>
      </c>
      <c r="M273" s="10">
        <v>1968</v>
      </c>
      <c r="N273" s="9" t="s">
        <v>16</v>
      </c>
      <c r="O273" s="10" t="s">
        <v>20</v>
      </c>
    </row>
    <row r="274" spans="3:15" s="9" customFormat="1" ht="12.75">
      <c r="C274" s="13"/>
      <c r="D274" s="59">
        <v>4870004</v>
      </c>
      <c r="E274" s="60"/>
      <c r="F274" s="12"/>
      <c r="M274" s="10"/>
      <c r="O274" s="10">
        <v>1993</v>
      </c>
    </row>
    <row r="275" spans="3:15" s="9" customFormat="1" ht="12.75">
      <c r="C275" s="13">
        <v>4851108</v>
      </c>
      <c r="D275" s="122">
        <v>4870006</v>
      </c>
      <c r="E275" s="60"/>
      <c r="F275" s="12">
        <v>102</v>
      </c>
      <c r="H275" s="93">
        <v>4863989</v>
      </c>
      <c r="K275" s="9">
        <v>856</v>
      </c>
      <c r="L275" s="9">
        <v>252</v>
      </c>
      <c r="M275" s="10">
        <v>1968</v>
      </c>
      <c r="N275" s="9" t="s">
        <v>16</v>
      </c>
      <c r="O275" s="10" t="s">
        <v>20</v>
      </c>
    </row>
    <row r="276" spans="3:15" s="9" customFormat="1" ht="12.75">
      <c r="C276" s="13">
        <v>4851111</v>
      </c>
      <c r="D276" s="185">
        <v>4870009</v>
      </c>
      <c r="E276" s="60"/>
      <c r="F276" s="12"/>
      <c r="H276" s="93"/>
      <c r="J276" s="133">
        <v>4871603</v>
      </c>
      <c r="K276" s="9">
        <f>1111-255</f>
        <v>856</v>
      </c>
      <c r="L276" s="9">
        <v>255</v>
      </c>
      <c r="M276" s="10">
        <v>1968</v>
      </c>
      <c r="N276" s="9" t="s">
        <v>16</v>
      </c>
      <c r="O276" s="10">
        <v>2009</v>
      </c>
    </row>
    <row r="277" spans="3:15" s="9" customFormat="1" ht="12.75">
      <c r="C277" s="13">
        <v>4851119</v>
      </c>
      <c r="D277" s="58">
        <v>4870017</v>
      </c>
      <c r="E277" s="60"/>
      <c r="F277" s="12">
        <f>119-17</f>
        <v>102</v>
      </c>
      <c r="J277" s="39">
        <v>4871259</v>
      </c>
      <c r="K277" s="9">
        <v>856</v>
      </c>
      <c r="L277" s="9">
        <v>263</v>
      </c>
      <c r="M277" s="10">
        <v>1968</v>
      </c>
      <c r="N277" s="9" t="s">
        <v>16</v>
      </c>
      <c r="O277" s="10" t="s">
        <v>30</v>
      </c>
    </row>
    <row r="278" spans="3:15" s="9" customFormat="1" ht="12.75">
      <c r="C278" s="13">
        <v>4851120</v>
      </c>
      <c r="D278" s="58">
        <v>4870018</v>
      </c>
      <c r="E278" s="60"/>
      <c r="F278" s="12">
        <v>102</v>
      </c>
      <c r="H278" s="39">
        <v>4864654</v>
      </c>
      <c r="I278" s="39"/>
      <c r="J278" s="39"/>
      <c r="K278" s="9">
        <v>856</v>
      </c>
      <c r="L278" s="9">
        <v>264</v>
      </c>
      <c r="M278" s="10">
        <v>1968</v>
      </c>
      <c r="N278" s="9" t="s">
        <v>16</v>
      </c>
      <c r="O278" s="10">
        <v>2010</v>
      </c>
    </row>
    <row r="279" spans="3:15" s="9" customFormat="1" ht="12.75">
      <c r="C279" s="13">
        <v>4851121</v>
      </c>
      <c r="D279" s="58">
        <v>4870019</v>
      </c>
      <c r="E279" s="60"/>
      <c r="F279" s="12">
        <v>102</v>
      </c>
      <c r="H279" s="39">
        <v>4864663</v>
      </c>
      <c r="I279" s="39"/>
      <c r="J279" s="39"/>
      <c r="K279" s="9">
        <v>856</v>
      </c>
      <c r="L279" s="9">
        <v>265</v>
      </c>
      <c r="M279" s="10">
        <v>1969</v>
      </c>
      <c r="N279" s="9" t="s">
        <v>16</v>
      </c>
      <c r="O279" s="10" t="s">
        <v>20</v>
      </c>
    </row>
    <row r="280" spans="3:15" s="9" customFormat="1" ht="12.75">
      <c r="C280" s="9">
        <v>4851123</v>
      </c>
      <c r="D280" s="9">
        <v>4870021</v>
      </c>
      <c r="E280" s="64"/>
      <c r="F280" s="12">
        <v>102</v>
      </c>
      <c r="H280" s="11">
        <v>4864682</v>
      </c>
      <c r="I280" s="11"/>
      <c r="J280" s="11"/>
      <c r="K280" s="9">
        <f>1123-267</f>
        <v>856</v>
      </c>
      <c r="L280" s="9">
        <v>267</v>
      </c>
      <c r="M280" s="10">
        <v>1968</v>
      </c>
      <c r="N280" s="9" t="s">
        <v>16</v>
      </c>
      <c r="O280" s="10">
        <v>2002</v>
      </c>
    </row>
    <row r="281" spans="3:15" s="9" customFormat="1" ht="12.75">
      <c r="C281" s="9">
        <v>4851126</v>
      </c>
      <c r="D281" s="185">
        <v>4870024</v>
      </c>
      <c r="E281" s="64"/>
      <c r="F281" s="12"/>
      <c r="H281" s="11"/>
      <c r="I281" s="11"/>
      <c r="J281" s="11">
        <v>4871476</v>
      </c>
      <c r="K281" s="9">
        <v>856</v>
      </c>
      <c r="L281" s="9">
        <v>270</v>
      </c>
      <c r="M281" s="10">
        <v>1968</v>
      </c>
      <c r="N281" s="9" t="s">
        <v>16</v>
      </c>
      <c r="O281" s="10">
        <v>2009</v>
      </c>
    </row>
    <row r="282" spans="3:15" s="9" customFormat="1" ht="12.75">
      <c r="C282" s="9">
        <v>4851127</v>
      </c>
      <c r="D282" s="9">
        <v>4870025</v>
      </c>
      <c r="E282" s="64"/>
      <c r="F282" s="12">
        <v>102</v>
      </c>
      <c r="H282" s="11">
        <v>4864691</v>
      </c>
      <c r="I282" s="11"/>
      <c r="J282" s="11"/>
      <c r="K282" s="9">
        <v>856</v>
      </c>
      <c r="L282" s="9">
        <v>271</v>
      </c>
      <c r="M282" s="10"/>
      <c r="O282" s="10" t="s">
        <v>20</v>
      </c>
    </row>
    <row r="283" spans="3:15" s="9" customFormat="1" ht="12.75">
      <c r="C283" s="9">
        <v>4851128</v>
      </c>
      <c r="D283" s="9">
        <v>4870026</v>
      </c>
      <c r="E283" s="64"/>
      <c r="F283" s="12">
        <v>102</v>
      </c>
      <c r="H283" s="11"/>
      <c r="I283" s="11"/>
      <c r="J283" s="11">
        <v>4871443</v>
      </c>
      <c r="K283" s="9">
        <v>856</v>
      </c>
      <c r="L283" s="9">
        <v>272</v>
      </c>
      <c r="M283" s="10">
        <v>1969</v>
      </c>
      <c r="N283" s="9" t="s">
        <v>16</v>
      </c>
      <c r="O283" s="10" t="s">
        <v>30</v>
      </c>
    </row>
    <row r="284" spans="3:15" s="9" customFormat="1" ht="12.75">
      <c r="C284" s="9">
        <v>4851130</v>
      </c>
      <c r="D284" s="9">
        <v>4870028</v>
      </c>
      <c r="E284" s="64"/>
      <c r="F284" s="12">
        <v>102</v>
      </c>
      <c r="G284" s="182">
        <v>4870966</v>
      </c>
      <c r="H284" s="11"/>
      <c r="I284" s="11"/>
      <c r="J284" s="11"/>
      <c r="M284" s="10"/>
      <c r="O284" s="10" t="s">
        <v>20</v>
      </c>
    </row>
    <row r="285" spans="3:15" s="9" customFormat="1" ht="12.75">
      <c r="C285" s="9">
        <v>4851132</v>
      </c>
      <c r="D285" s="9">
        <v>4870030</v>
      </c>
      <c r="E285" s="64"/>
      <c r="F285" s="12">
        <v>102</v>
      </c>
      <c r="H285" s="98">
        <v>4863958</v>
      </c>
      <c r="I285" s="98">
        <v>4868712</v>
      </c>
      <c r="J285" s="11">
        <v>4871558</v>
      </c>
      <c r="K285" s="9">
        <v>856</v>
      </c>
      <c r="L285" s="9">
        <v>276</v>
      </c>
      <c r="M285" s="10">
        <v>1969</v>
      </c>
      <c r="N285" s="9" t="s">
        <v>16</v>
      </c>
      <c r="O285" s="10" t="s">
        <v>20</v>
      </c>
    </row>
    <row r="286" spans="3:15" s="9" customFormat="1" ht="12.75">
      <c r="C286" s="198">
        <v>4851135</v>
      </c>
      <c r="D286" s="9">
        <v>4870033</v>
      </c>
      <c r="E286" s="64"/>
      <c r="F286" s="200">
        <v>102</v>
      </c>
      <c r="H286" s="11"/>
      <c r="I286" s="11"/>
      <c r="J286" s="11">
        <v>4871310</v>
      </c>
      <c r="K286" s="198">
        <v>856</v>
      </c>
      <c r="L286" s="9">
        <v>279</v>
      </c>
      <c r="M286" s="10">
        <v>1969</v>
      </c>
      <c r="N286" s="9" t="s">
        <v>16</v>
      </c>
      <c r="O286" s="10">
        <v>2011</v>
      </c>
    </row>
    <row r="287" spans="3:15" s="9" customFormat="1" ht="12.75">
      <c r="C287" s="9">
        <v>4851137</v>
      </c>
      <c r="D287" s="9">
        <v>4870035</v>
      </c>
      <c r="E287" s="64"/>
      <c r="F287" s="12">
        <v>102</v>
      </c>
      <c r="H287" s="11">
        <v>4864678</v>
      </c>
      <c r="I287" s="11"/>
      <c r="J287" s="11"/>
      <c r="K287" s="9">
        <v>856</v>
      </c>
      <c r="L287" s="9">
        <v>281</v>
      </c>
      <c r="M287" s="10">
        <v>1969</v>
      </c>
      <c r="N287" s="9" t="s">
        <v>16</v>
      </c>
      <c r="O287" s="10" t="s">
        <v>20</v>
      </c>
    </row>
    <row r="288" spans="3:15" s="9" customFormat="1" ht="12.75">
      <c r="C288" s="9">
        <v>4851139</v>
      </c>
      <c r="D288" s="9">
        <v>4870037</v>
      </c>
      <c r="E288" s="64"/>
      <c r="F288" s="12">
        <v>102</v>
      </c>
      <c r="H288" s="11">
        <v>4864667</v>
      </c>
      <c r="I288" s="11"/>
      <c r="J288" s="11"/>
      <c r="K288" s="9">
        <v>856</v>
      </c>
      <c r="L288" s="9">
        <v>283</v>
      </c>
      <c r="M288" s="10">
        <v>1969</v>
      </c>
      <c r="N288" s="9" t="s">
        <v>16</v>
      </c>
      <c r="O288" s="10" t="s">
        <v>20</v>
      </c>
    </row>
    <row r="289" spans="3:15" s="9" customFormat="1" ht="12.75">
      <c r="C289" s="9">
        <v>4851141</v>
      </c>
      <c r="D289" s="9">
        <v>4870039</v>
      </c>
      <c r="E289" s="64"/>
      <c r="F289" s="12">
        <v>102</v>
      </c>
      <c r="H289" s="11">
        <v>4864672</v>
      </c>
      <c r="I289" s="11"/>
      <c r="J289" s="11"/>
      <c r="K289" s="9">
        <v>856</v>
      </c>
      <c r="L289" s="9">
        <v>285</v>
      </c>
      <c r="M289" s="10">
        <v>1969</v>
      </c>
      <c r="N289" s="9" t="s">
        <v>16</v>
      </c>
      <c r="O289" s="10" t="s">
        <v>20</v>
      </c>
    </row>
    <row r="290" spans="3:15" s="9" customFormat="1" ht="12.75">
      <c r="C290" s="9">
        <v>4851143</v>
      </c>
      <c r="D290" s="10">
        <v>4870041</v>
      </c>
      <c r="E290" s="61"/>
      <c r="F290" s="12">
        <v>102</v>
      </c>
      <c r="H290" s="97">
        <v>4864660</v>
      </c>
      <c r="K290" s="9">
        <f>1143-287</f>
        <v>856</v>
      </c>
      <c r="L290" s="9">
        <v>287</v>
      </c>
      <c r="M290" s="10">
        <v>1969</v>
      </c>
      <c r="N290" s="9" t="s">
        <v>16</v>
      </c>
      <c r="O290" s="10" t="s">
        <v>20</v>
      </c>
    </row>
    <row r="291" spans="3:15" s="9" customFormat="1" ht="12.75">
      <c r="C291" s="9">
        <v>4851144</v>
      </c>
      <c r="D291" s="10">
        <v>4870042</v>
      </c>
      <c r="E291" s="61"/>
      <c r="F291" s="12">
        <v>102</v>
      </c>
      <c r="H291" s="97">
        <v>4864656</v>
      </c>
      <c r="K291" s="9">
        <v>856</v>
      </c>
      <c r="L291" s="9">
        <v>288</v>
      </c>
      <c r="M291" s="10">
        <v>1969</v>
      </c>
      <c r="N291" s="9" t="s">
        <v>16</v>
      </c>
      <c r="O291" s="10" t="s">
        <v>20</v>
      </c>
    </row>
    <row r="292" spans="3:15" s="9" customFormat="1" ht="12.75">
      <c r="C292" s="9">
        <v>4851145</v>
      </c>
      <c r="D292" s="10">
        <v>4870043</v>
      </c>
      <c r="E292" s="61"/>
      <c r="F292" s="12">
        <v>102</v>
      </c>
      <c r="H292" s="97">
        <v>4864657</v>
      </c>
      <c r="K292" s="9">
        <v>856</v>
      </c>
      <c r="L292" s="9">
        <v>289</v>
      </c>
      <c r="M292" s="10">
        <v>1969</v>
      </c>
      <c r="N292" s="9" t="s">
        <v>16</v>
      </c>
      <c r="O292" s="10" t="s">
        <v>20</v>
      </c>
    </row>
    <row r="293" spans="3:15" s="9" customFormat="1" ht="12.75">
      <c r="C293" s="9">
        <v>4851149</v>
      </c>
      <c r="D293" s="10">
        <v>4870047</v>
      </c>
      <c r="E293" s="61"/>
      <c r="F293" s="12">
        <v>102</v>
      </c>
      <c r="H293" s="10" t="s">
        <v>24</v>
      </c>
      <c r="I293" s="10"/>
      <c r="J293" s="35">
        <v>4871578</v>
      </c>
      <c r="K293" s="9">
        <f>1149-293</f>
        <v>856</v>
      </c>
      <c r="L293" s="9">
        <v>293</v>
      </c>
      <c r="M293" s="10">
        <v>1969</v>
      </c>
      <c r="N293" s="9" t="s">
        <v>16</v>
      </c>
      <c r="O293" s="10">
        <v>2009</v>
      </c>
    </row>
    <row r="294" spans="3:15" s="9" customFormat="1" ht="12.75">
      <c r="C294" s="9">
        <v>4851150</v>
      </c>
      <c r="D294" s="10">
        <v>4870048</v>
      </c>
      <c r="E294" s="61"/>
      <c r="F294" s="12">
        <v>102</v>
      </c>
      <c r="H294" s="10"/>
      <c r="I294" s="10"/>
      <c r="J294" s="35">
        <v>4871309</v>
      </c>
      <c r="K294" s="9">
        <v>856</v>
      </c>
      <c r="L294" s="9">
        <v>294</v>
      </c>
      <c r="M294" s="10">
        <v>1969</v>
      </c>
      <c r="N294" s="9" t="s">
        <v>16</v>
      </c>
      <c r="O294" s="10" t="s">
        <v>30</v>
      </c>
    </row>
    <row r="295" spans="3:15" s="9" customFormat="1" ht="12.75">
      <c r="C295" s="9">
        <v>4851151</v>
      </c>
      <c r="D295" s="10">
        <v>4870049</v>
      </c>
      <c r="E295" s="61"/>
      <c r="F295" s="12">
        <v>102</v>
      </c>
      <c r="H295" s="108">
        <v>4864679</v>
      </c>
      <c r="I295" s="10"/>
      <c r="J295" s="35"/>
      <c r="K295" s="9">
        <v>856</v>
      </c>
      <c r="L295" s="9">
        <v>295</v>
      </c>
      <c r="M295" s="10">
        <v>1969</v>
      </c>
      <c r="N295" s="9" t="s">
        <v>16</v>
      </c>
      <c r="O295" s="10" t="s">
        <v>20</v>
      </c>
    </row>
    <row r="296" spans="3:15" s="9" customFormat="1" ht="12.75">
      <c r="C296" s="9">
        <v>4851156</v>
      </c>
      <c r="D296" s="10">
        <v>4870054</v>
      </c>
      <c r="E296" s="61"/>
      <c r="F296" s="12">
        <v>102</v>
      </c>
      <c r="H296" s="66">
        <v>4864693</v>
      </c>
      <c r="I296" s="66"/>
      <c r="J296" s="66"/>
      <c r="K296" s="9">
        <v>856</v>
      </c>
      <c r="L296" s="9">
        <v>300</v>
      </c>
      <c r="M296" s="10">
        <v>1969</v>
      </c>
      <c r="N296" s="9" t="s">
        <v>16</v>
      </c>
      <c r="O296" s="10" t="s">
        <v>111</v>
      </c>
    </row>
    <row r="297" spans="3:15" s="9" customFormat="1" ht="12.75">
      <c r="C297" s="9">
        <v>4851158</v>
      </c>
      <c r="D297" s="10">
        <v>4870056</v>
      </c>
      <c r="E297" s="61"/>
      <c r="F297" s="12">
        <f>158-56</f>
        <v>102</v>
      </c>
      <c r="H297" s="90">
        <v>4864686</v>
      </c>
      <c r="I297" s="90"/>
      <c r="J297" s="90"/>
      <c r="K297" s="9">
        <f>1158-302</f>
        <v>856</v>
      </c>
      <c r="L297" s="9">
        <v>302</v>
      </c>
      <c r="M297" s="10">
        <v>1969</v>
      </c>
      <c r="N297" s="9" t="s">
        <v>16</v>
      </c>
      <c r="O297" s="10">
        <v>2008</v>
      </c>
    </row>
    <row r="298" spans="3:15" s="9" customFormat="1" ht="12.75">
      <c r="C298" s="9">
        <v>4851160</v>
      </c>
      <c r="D298" s="10">
        <v>4870134</v>
      </c>
      <c r="E298" s="69" t="s">
        <v>112</v>
      </c>
      <c r="F298" s="12">
        <f>160-134</f>
        <v>26</v>
      </c>
      <c r="H298" s="90">
        <v>4864683</v>
      </c>
      <c r="I298" s="90"/>
      <c r="J298" s="90"/>
      <c r="K298" s="9">
        <v>856</v>
      </c>
      <c r="L298" s="9">
        <v>304</v>
      </c>
      <c r="M298" s="10">
        <v>1969</v>
      </c>
      <c r="N298" s="9" t="s">
        <v>16</v>
      </c>
      <c r="O298" s="10" t="s">
        <v>20</v>
      </c>
    </row>
    <row r="299" spans="3:15" s="9" customFormat="1" ht="12.75">
      <c r="C299" s="13">
        <v>4851161</v>
      </c>
      <c r="D299" s="10">
        <v>4870059</v>
      </c>
      <c r="E299" s="61"/>
      <c r="F299" s="12">
        <v>102</v>
      </c>
      <c r="H299" s="11">
        <v>4864674</v>
      </c>
      <c r="I299" s="11"/>
      <c r="J299" s="11"/>
      <c r="K299" s="9">
        <v>856</v>
      </c>
      <c r="L299" s="9">
        <v>305</v>
      </c>
      <c r="M299" s="10">
        <v>1969</v>
      </c>
      <c r="N299" s="9" t="s">
        <v>16</v>
      </c>
      <c r="O299" s="10">
        <v>2008</v>
      </c>
    </row>
    <row r="300" spans="3:15" s="9" customFormat="1" ht="12.75">
      <c r="C300" s="9">
        <v>4851163</v>
      </c>
      <c r="D300" s="10">
        <v>4870061</v>
      </c>
      <c r="E300" s="61"/>
      <c r="F300" s="12">
        <f>163-61</f>
        <v>102</v>
      </c>
      <c r="H300" s="11">
        <v>4864698</v>
      </c>
      <c r="I300" s="11"/>
      <c r="J300" s="11"/>
      <c r="K300" s="9">
        <f>1163-307</f>
        <v>856</v>
      </c>
      <c r="L300" s="9">
        <v>307</v>
      </c>
      <c r="M300" s="10">
        <v>1969</v>
      </c>
      <c r="N300" s="9" t="s">
        <v>16</v>
      </c>
      <c r="O300" s="10">
        <v>2008</v>
      </c>
    </row>
    <row r="301" spans="3:15" s="9" customFormat="1" ht="12.75">
      <c r="C301" s="9">
        <v>4851166</v>
      </c>
      <c r="D301" s="10">
        <v>4870064</v>
      </c>
      <c r="E301" s="61"/>
      <c r="F301" s="12">
        <v>102</v>
      </c>
      <c r="H301" s="11">
        <v>4864675</v>
      </c>
      <c r="I301" s="11"/>
      <c r="J301" s="11"/>
      <c r="K301" s="9">
        <v>856</v>
      </c>
      <c r="L301" s="9">
        <v>310</v>
      </c>
      <c r="M301" s="10">
        <v>1969</v>
      </c>
      <c r="N301" s="9" t="s">
        <v>16</v>
      </c>
      <c r="O301" s="10" t="s">
        <v>20</v>
      </c>
    </row>
    <row r="302" spans="3:15" s="9" customFormat="1" ht="12.75">
      <c r="C302" s="9">
        <v>4851167</v>
      </c>
      <c r="D302" s="10">
        <v>4870065</v>
      </c>
      <c r="E302" s="61"/>
      <c r="F302" s="12">
        <v>102</v>
      </c>
      <c r="H302" s="11">
        <v>4864671</v>
      </c>
      <c r="I302" s="11"/>
      <c r="J302" s="11"/>
      <c r="K302" s="9">
        <v>856</v>
      </c>
      <c r="L302" s="9">
        <v>311</v>
      </c>
      <c r="M302" s="10">
        <v>1969</v>
      </c>
      <c r="N302" s="9" t="s">
        <v>16</v>
      </c>
      <c r="O302" s="10" t="s">
        <v>51</v>
      </c>
    </row>
    <row r="303" spans="2:15" s="9" customFormat="1" ht="12.75">
      <c r="B303" s="13"/>
      <c r="C303" s="42" t="s">
        <v>113</v>
      </c>
      <c r="D303" s="184">
        <v>4870066</v>
      </c>
      <c r="E303" s="69" t="s">
        <v>114</v>
      </c>
      <c r="F303" s="12"/>
      <c r="H303" s="11">
        <v>4864696</v>
      </c>
      <c r="I303" s="11"/>
      <c r="J303" s="11"/>
      <c r="L303" s="9">
        <v>312</v>
      </c>
      <c r="M303" s="10" t="s">
        <v>115</v>
      </c>
      <c r="N303" s="9" t="s">
        <v>16</v>
      </c>
      <c r="O303" s="10">
        <v>2007</v>
      </c>
    </row>
    <row r="304" spans="2:15" s="9" customFormat="1" ht="12.75">
      <c r="B304" s="13"/>
      <c r="C304" s="42">
        <v>4851169</v>
      </c>
      <c r="D304" s="54">
        <v>4870067</v>
      </c>
      <c r="E304" s="60"/>
      <c r="F304" s="12">
        <v>102</v>
      </c>
      <c r="H304" s="11">
        <v>4864694</v>
      </c>
      <c r="I304" s="11"/>
      <c r="J304" s="11"/>
      <c r="K304" s="9">
        <v>856</v>
      </c>
      <c r="L304" s="9">
        <v>313</v>
      </c>
      <c r="M304" s="10">
        <v>1969</v>
      </c>
      <c r="N304" s="9" t="s">
        <v>16</v>
      </c>
      <c r="O304" s="10" t="s">
        <v>20</v>
      </c>
    </row>
    <row r="305" spans="2:15" s="9" customFormat="1" ht="12.75">
      <c r="B305" s="13"/>
      <c r="C305" s="42">
        <v>4851170</v>
      </c>
      <c r="D305" s="51">
        <v>4870068</v>
      </c>
      <c r="E305" s="60"/>
      <c r="F305" s="12">
        <v>102</v>
      </c>
      <c r="G305" s="87"/>
      <c r="H305" s="11">
        <v>4863937</v>
      </c>
      <c r="I305" s="11"/>
      <c r="J305" s="11"/>
      <c r="K305" s="9">
        <v>856</v>
      </c>
      <c r="L305" s="9">
        <v>314</v>
      </c>
      <c r="M305" s="10">
        <v>1969</v>
      </c>
      <c r="N305" s="9" t="s">
        <v>16</v>
      </c>
      <c r="O305" s="10">
        <v>2008</v>
      </c>
    </row>
    <row r="306" spans="2:15" s="9" customFormat="1" ht="12.75">
      <c r="B306" s="13"/>
      <c r="C306" s="42"/>
      <c r="D306" s="51">
        <v>4870069</v>
      </c>
      <c r="E306" s="60"/>
      <c r="F306" s="12"/>
      <c r="G306" s="87"/>
      <c r="H306" s="11"/>
      <c r="I306" s="11"/>
      <c r="J306" s="11">
        <v>4871495</v>
      </c>
      <c r="M306" s="10"/>
      <c r="O306" s="10" t="s">
        <v>116</v>
      </c>
    </row>
    <row r="307" spans="2:15" s="9" customFormat="1" ht="12.75">
      <c r="B307" s="13"/>
      <c r="C307" s="42">
        <v>4851172</v>
      </c>
      <c r="D307" s="51">
        <v>4870070</v>
      </c>
      <c r="E307" s="60"/>
      <c r="F307" s="12">
        <v>102</v>
      </c>
      <c r="G307" s="87"/>
      <c r="H307" s="11">
        <v>4864676</v>
      </c>
      <c r="I307" s="11"/>
      <c r="J307" s="11"/>
      <c r="K307" s="9">
        <v>856</v>
      </c>
      <c r="L307" s="9">
        <v>316</v>
      </c>
      <c r="M307" s="10">
        <v>1969</v>
      </c>
      <c r="N307" s="9" t="s">
        <v>16</v>
      </c>
      <c r="O307" s="10" t="s">
        <v>20</v>
      </c>
    </row>
    <row r="308" spans="2:15" s="9" customFormat="1" ht="12.75">
      <c r="B308" s="13"/>
      <c r="C308" s="42">
        <v>4851173</v>
      </c>
      <c r="D308" s="51">
        <v>4870071</v>
      </c>
      <c r="E308" s="60"/>
      <c r="F308" s="12">
        <v>102</v>
      </c>
      <c r="G308" s="87"/>
      <c r="H308" s="11"/>
      <c r="I308" s="11"/>
      <c r="J308" s="11">
        <v>4851612</v>
      </c>
      <c r="K308" s="9">
        <v>856</v>
      </c>
      <c r="L308" s="9">
        <v>317</v>
      </c>
      <c r="M308" s="10">
        <v>1969</v>
      </c>
      <c r="N308" s="9" t="s">
        <v>16</v>
      </c>
      <c r="O308" s="10">
        <v>2009</v>
      </c>
    </row>
    <row r="309" spans="2:15" s="9" customFormat="1" ht="12.75">
      <c r="B309" s="13"/>
      <c r="C309" s="42">
        <v>4851174</v>
      </c>
      <c r="D309" s="51">
        <v>4870072</v>
      </c>
      <c r="E309" s="60"/>
      <c r="F309" s="12">
        <v>102</v>
      </c>
      <c r="G309" s="87"/>
      <c r="H309" s="11">
        <v>4863990</v>
      </c>
      <c r="I309" s="11"/>
      <c r="J309" s="11"/>
      <c r="K309" s="9">
        <v>856</v>
      </c>
      <c r="L309" s="9">
        <v>318</v>
      </c>
      <c r="M309" s="10">
        <v>1969</v>
      </c>
      <c r="N309" s="9" t="s">
        <v>16</v>
      </c>
      <c r="O309" s="10">
        <v>2009</v>
      </c>
    </row>
    <row r="310" spans="2:15" s="9" customFormat="1" ht="12.75">
      <c r="B310" s="13"/>
      <c r="C310" s="42">
        <v>4851177</v>
      </c>
      <c r="D310" s="51">
        <v>4870075</v>
      </c>
      <c r="E310" s="60"/>
      <c r="F310" s="12">
        <v>102</v>
      </c>
      <c r="G310" s="87"/>
      <c r="H310" s="11">
        <v>4864662</v>
      </c>
      <c r="I310" s="11"/>
      <c r="J310" s="11"/>
      <c r="K310" s="9">
        <v>856</v>
      </c>
      <c r="L310" s="9">
        <v>321</v>
      </c>
      <c r="M310" s="10">
        <v>1969</v>
      </c>
      <c r="N310" s="9" t="s">
        <v>16</v>
      </c>
      <c r="O310" s="10" t="s">
        <v>20</v>
      </c>
    </row>
    <row r="311" spans="2:15" s="9" customFormat="1" ht="12.75">
      <c r="B311" s="13"/>
      <c r="C311" s="42">
        <v>4851178</v>
      </c>
      <c r="D311" s="51">
        <v>4870076</v>
      </c>
      <c r="E311" s="60"/>
      <c r="F311" s="12">
        <v>102</v>
      </c>
      <c r="G311" s="87"/>
      <c r="H311" s="11"/>
      <c r="I311" s="11"/>
      <c r="J311" s="11">
        <v>4871272</v>
      </c>
      <c r="M311" s="10">
        <v>1969</v>
      </c>
      <c r="N311" s="9" t="s">
        <v>16</v>
      </c>
      <c r="O311" s="10" t="s">
        <v>51</v>
      </c>
    </row>
    <row r="312" spans="2:15" s="9" customFormat="1" ht="12.75">
      <c r="B312" s="13"/>
      <c r="C312" s="42">
        <v>4851179</v>
      </c>
      <c r="D312" s="51">
        <v>4870077</v>
      </c>
      <c r="E312" s="60"/>
      <c r="F312" s="12">
        <v>102</v>
      </c>
      <c r="G312" s="87"/>
      <c r="H312" s="11">
        <v>4863954</v>
      </c>
      <c r="I312" s="11"/>
      <c r="J312" s="11"/>
      <c r="K312" s="9">
        <v>856</v>
      </c>
      <c r="L312" s="9">
        <v>323</v>
      </c>
      <c r="M312" s="10">
        <v>1969</v>
      </c>
      <c r="N312" s="9" t="s">
        <v>16</v>
      </c>
      <c r="O312" s="10" t="s">
        <v>20</v>
      </c>
    </row>
    <row r="313" spans="2:15" s="9" customFormat="1" ht="12.75">
      <c r="B313" s="13"/>
      <c r="C313" s="42">
        <v>4851181</v>
      </c>
      <c r="D313" s="51">
        <v>4870079</v>
      </c>
      <c r="E313" s="60"/>
      <c r="F313" s="12">
        <v>102</v>
      </c>
      <c r="G313" s="87"/>
      <c r="H313" s="11">
        <v>4864664</v>
      </c>
      <c r="I313" s="11"/>
      <c r="J313" s="11"/>
      <c r="K313" s="9">
        <v>856</v>
      </c>
      <c r="L313" s="9">
        <v>325</v>
      </c>
      <c r="M313" s="10">
        <v>1969</v>
      </c>
      <c r="N313" s="9" t="s">
        <v>16</v>
      </c>
      <c r="O313" s="10">
        <v>2010</v>
      </c>
    </row>
    <row r="314" spans="3:15" s="9" customFormat="1" ht="12.75">
      <c r="C314" s="9">
        <v>4851182</v>
      </c>
      <c r="D314" s="10">
        <v>4870080</v>
      </c>
      <c r="E314" s="61"/>
      <c r="F314" s="12">
        <f>182-80</f>
        <v>102</v>
      </c>
      <c r="H314" s="11">
        <v>4864680</v>
      </c>
      <c r="I314" s="11"/>
      <c r="J314" s="11"/>
      <c r="M314" s="10">
        <v>1969</v>
      </c>
      <c r="N314" s="9" t="s">
        <v>16</v>
      </c>
      <c r="O314" s="10">
        <v>2002</v>
      </c>
    </row>
    <row r="315" spans="3:15" s="9" customFormat="1" ht="12.75">
      <c r="C315" s="9">
        <v>4851185</v>
      </c>
      <c r="D315" s="10">
        <v>4870083</v>
      </c>
      <c r="E315" s="61"/>
      <c r="F315" s="12">
        <v>102</v>
      </c>
      <c r="H315" s="11">
        <v>4863944</v>
      </c>
      <c r="I315" s="11"/>
      <c r="J315" s="11"/>
      <c r="K315" s="9">
        <f>1185-329</f>
        <v>856</v>
      </c>
      <c r="L315" s="9">
        <v>329</v>
      </c>
      <c r="M315" s="10">
        <v>1969</v>
      </c>
      <c r="N315" s="9" t="s">
        <v>16</v>
      </c>
      <c r="O315" s="10" t="s">
        <v>51</v>
      </c>
    </row>
    <row r="316" spans="3:15" s="9" customFormat="1" ht="12.75">
      <c r="C316" s="9">
        <v>4851187</v>
      </c>
      <c r="D316" s="10">
        <v>4870085</v>
      </c>
      <c r="E316" s="61"/>
      <c r="F316" s="12">
        <v>102</v>
      </c>
      <c r="H316" s="11">
        <v>4864689</v>
      </c>
      <c r="I316" s="11"/>
      <c r="J316" s="11"/>
      <c r="K316" s="9">
        <v>856</v>
      </c>
      <c r="L316" s="9">
        <v>331</v>
      </c>
      <c r="M316" s="10">
        <v>1969</v>
      </c>
      <c r="N316" s="9" t="s">
        <v>16</v>
      </c>
      <c r="O316" s="10" t="s">
        <v>30</v>
      </c>
    </row>
    <row r="317" spans="3:15" s="9" customFormat="1" ht="12.75">
      <c r="C317" s="198">
        <v>4851190</v>
      </c>
      <c r="D317" s="10">
        <v>4870088</v>
      </c>
      <c r="E317" s="61"/>
      <c r="F317" s="200">
        <v>102</v>
      </c>
      <c r="H317" s="11"/>
      <c r="I317" s="11"/>
      <c r="J317" s="11">
        <v>4871622</v>
      </c>
      <c r="M317" s="10">
        <v>1969</v>
      </c>
      <c r="N317" s="198" t="s">
        <v>16</v>
      </c>
      <c r="O317" s="10">
        <v>2009</v>
      </c>
    </row>
    <row r="318" spans="3:15" s="9" customFormat="1" ht="12.75">
      <c r="C318" s="9">
        <v>4851191</v>
      </c>
      <c r="D318" s="10">
        <v>4870089</v>
      </c>
      <c r="E318" s="61"/>
      <c r="F318" s="12">
        <v>102</v>
      </c>
      <c r="H318" s="11">
        <v>4864652</v>
      </c>
      <c r="I318" s="11"/>
      <c r="J318" s="11"/>
      <c r="K318" s="9">
        <v>856</v>
      </c>
      <c r="L318" s="9">
        <v>335</v>
      </c>
      <c r="M318" s="10">
        <v>1969</v>
      </c>
      <c r="N318" s="9" t="s">
        <v>16</v>
      </c>
      <c r="O318" s="10" t="s">
        <v>20</v>
      </c>
    </row>
    <row r="319" spans="3:15" s="9" customFormat="1" ht="12.75">
      <c r="C319" s="198">
        <v>4851192</v>
      </c>
      <c r="D319" s="10">
        <v>4870090</v>
      </c>
      <c r="E319" s="61"/>
      <c r="F319" s="200">
        <v>102</v>
      </c>
      <c r="H319" s="11">
        <v>4864666</v>
      </c>
      <c r="I319" s="11"/>
      <c r="J319" s="11"/>
      <c r="K319" s="9">
        <v>856</v>
      </c>
      <c r="L319" s="198">
        <v>336</v>
      </c>
      <c r="M319" s="10">
        <v>1969</v>
      </c>
      <c r="N319" s="198" t="s">
        <v>16</v>
      </c>
      <c r="O319" s="10">
        <v>2011</v>
      </c>
    </row>
    <row r="320" spans="3:15" s="9" customFormat="1" ht="12.75">
      <c r="C320" s="9">
        <v>4851193</v>
      </c>
      <c r="D320" s="10">
        <v>4870091</v>
      </c>
      <c r="E320" s="61"/>
      <c r="F320" s="12">
        <v>102</v>
      </c>
      <c r="H320" s="11">
        <v>4864695</v>
      </c>
      <c r="I320" s="11"/>
      <c r="J320" s="11"/>
      <c r="K320" s="9">
        <v>856</v>
      </c>
      <c r="L320" s="9">
        <v>337</v>
      </c>
      <c r="M320" s="10">
        <v>1969</v>
      </c>
      <c r="N320" s="9" t="s">
        <v>16</v>
      </c>
      <c r="O320" s="10" t="s">
        <v>20</v>
      </c>
    </row>
    <row r="321" spans="3:15" s="9" customFormat="1" ht="12.75">
      <c r="C321" s="9">
        <v>4851194</v>
      </c>
      <c r="D321" s="10">
        <v>4870092</v>
      </c>
      <c r="E321" s="61"/>
      <c r="F321" s="12">
        <v>102</v>
      </c>
      <c r="H321" s="11">
        <v>4864681</v>
      </c>
      <c r="I321" s="11"/>
      <c r="J321" s="11"/>
      <c r="K321" s="9">
        <f>1194-338</f>
        <v>856</v>
      </c>
      <c r="L321" s="9">
        <v>338</v>
      </c>
      <c r="M321" s="10">
        <v>1969</v>
      </c>
      <c r="N321" s="9" t="s">
        <v>16</v>
      </c>
      <c r="O321" s="10">
        <v>2008</v>
      </c>
    </row>
    <row r="322" spans="3:15" s="9" customFormat="1" ht="12.75">
      <c r="C322" s="9">
        <v>4851195</v>
      </c>
      <c r="D322" s="10">
        <v>4870093</v>
      </c>
      <c r="E322" s="61"/>
      <c r="F322" s="12">
        <v>102</v>
      </c>
      <c r="H322" s="11">
        <v>4863943</v>
      </c>
      <c r="I322" s="11"/>
      <c r="J322" s="11"/>
      <c r="M322" s="10"/>
      <c r="O322" s="10" t="s">
        <v>116</v>
      </c>
    </row>
    <row r="323" spans="3:15" s="9" customFormat="1" ht="12.75">
      <c r="C323" s="9">
        <v>4851196</v>
      </c>
      <c r="D323" s="10">
        <v>4870094</v>
      </c>
      <c r="E323" s="61"/>
      <c r="F323" s="12">
        <v>102</v>
      </c>
      <c r="H323" s="11">
        <v>4864650</v>
      </c>
      <c r="I323" s="11"/>
      <c r="J323" s="11"/>
      <c r="K323" s="9">
        <v>856</v>
      </c>
      <c r="L323" s="9">
        <v>340</v>
      </c>
      <c r="M323" s="10">
        <v>1969</v>
      </c>
      <c r="N323" s="9" t="s">
        <v>16</v>
      </c>
      <c r="O323" s="10" t="s">
        <v>20</v>
      </c>
    </row>
    <row r="324" spans="3:15" s="9" customFormat="1" ht="12.75">
      <c r="C324" s="9">
        <v>4851197</v>
      </c>
      <c r="D324" s="10">
        <v>4870095</v>
      </c>
      <c r="E324" s="61"/>
      <c r="F324" s="12">
        <v>102</v>
      </c>
      <c r="H324" s="11">
        <v>4864677</v>
      </c>
      <c r="I324" s="11"/>
      <c r="J324" s="11"/>
      <c r="K324" s="9">
        <v>856</v>
      </c>
      <c r="L324" s="9">
        <v>341</v>
      </c>
      <c r="M324" s="10">
        <v>1969</v>
      </c>
      <c r="N324" s="9" t="s">
        <v>16</v>
      </c>
      <c r="O324" s="10" t="s">
        <v>117</v>
      </c>
    </row>
    <row r="325" spans="3:15" s="9" customFormat="1" ht="12.75">
      <c r="C325" s="9">
        <v>4851198</v>
      </c>
      <c r="D325" s="10">
        <v>4870096</v>
      </c>
      <c r="E325" s="61"/>
      <c r="F325" s="12">
        <v>102</v>
      </c>
      <c r="H325" s="11">
        <v>4864700</v>
      </c>
      <c r="I325" s="11"/>
      <c r="J325" s="11"/>
      <c r="K325" s="9">
        <v>856</v>
      </c>
      <c r="L325" s="9">
        <v>342</v>
      </c>
      <c r="M325" s="10">
        <v>1969</v>
      </c>
      <c r="N325" s="9" t="s">
        <v>16</v>
      </c>
      <c r="O325" s="10" t="s">
        <v>20</v>
      </c>
    </row>
    <row r="326" spans="3:15" s="9" customFormat="1" ht="12.75">
      <c r="C326" s="9">
        <v>4851202</v>
      </c>
      <c r="D326" s="10">
        <v>4870100</v>
      </c>
      <c r="E326" s="61"/>
      <c r="F326" s="12">
        <v>102</v>
      </c>
      <c r="G326" s="88"/>
      <c r="H326" s="98">
        <v>4863984</v>
      </c>
      <c r="I326" s="88">
        <v>4868719</v>
      </c>
      <c r="J326" s="11"/>
      <c r="K326" s="9">
        <v>856</v>
      </c>
      <c r="L326" s="9">
        <v>346</v>
      </c>
      <c r="M326" s="10">
        <v>1969</v>
      </c>
      <c r="N326" s="9" t="s">
        <v>16</v>
      </c>
      <c r="O326" s="10" t="s">
        <v>20</v>
      </c>
    </row>
    <row r="327" spans="3:15" s="9" customFormat="1" ht="12.75">
      <c r="C327" s="9">
        <v>4851205</v>
      </c>
      <c r="D327" s="10">
        <v>4870103</v>
      </c>
      <c r="E327" s="61"/>
      <c r="F327" s="12">
        <v>102</v>
      </c>
      <c r="H327" s="11">
        <v>4864659</v>
      </c>
      <c r="I327" s="11"/>
      <c r="J327" s="11"/>
      <c r="K327" s="9">
        <f>1205-349</f>
        <v>856</v>
      </c>
      <c r="L327" s="9">
        <v>349</v>
      </c>
      <c r="M327" s="10">
        <v>1969</v>
      </c>
      <c r="N327" s="9" t="s">
        <v>16</v>
      </c>
      <c r="O327" s="10" t="s">
        <v>51</v>
      </c>
    </row>
    <row r="328" spans="3:15" s="9" customFormat="1" ht="12.75">
      <c r="C328" s="9">
        <v>4851206</v>
      </c>
      <c r="D328" s="10">
        <v>4870104</v>
      </c>
      <c r="E328" s="61"/>
      <c r="F328" s="12">
        <v>102</v>
      </c>
      <c r="H328" s="11">
        <v>4864690</v>
      </c>
      <c r="I328" s="11"/>
      <c r="J328" s="11"/>
      <c r="M328" s="10">
        <v>1969</v>
      </c>
      <c r="N328" s="9" t="s">
        <v>16</v>
      </c>
      <c r="O328" s="10">
        <v>2009</v>
      </c>
    </row>
    <row r="329" spans="3:15" s="9" customFormat="1" ht="12.75">
      <c r="C329" s="9">
        <v>4851207</v>
      </c>
      <c r="D329" s="10">
        <v>4870105</v>
      </c>
      <c r="E329" s="61"/>
      <c r="F329" s="12">
        <v>102</v>
      </c>
      <c r="H329" s="11">
        <v>4863985</v>
      </c>
      <c r="I329" s="11"/>
      <c r="J329" s="11"/>
      <c r="K329" s="9">
        <v>856</v>
      </c>
      <c r="L329" s="9">
        <v>351</v>
      </c>
      <c r="M329" s="10">
        <v>1969</v>
      </c>
      <c r="N329" s="9" t="s">
        <v>16</v>
      </c>
      <c r="O329" s="10" t="s">
        <v>20</v>
      </c>
    </row>
    <row r="330" spans="3:15" s="9" customFormat="1" ht="12.75">
      <c r="C330" s="9">
        <v>4851208</v>
      </c>
      <c r="D330" s="10">
        <v>4870106</v>
      </c>
      <c r="E330" s="61"/>
      <c r="F330" s="12">
        <v>102</v>
      </c>
      <c r="H330" s="11"/>
      <c r="I330" s="11"/>
      <c r="J330" s="11">
        <v>4871346</v>
      </c>
      <c r="M330" s="10">
        <v>1969</v>
      </c>
      <c r="N330" s="9" t="s">
        <v>16</v>
      </c>
      <c r="O330" s="10" t="s">
        <v>51</v>
      </c>
    </row>
    <row r="331" spans="3:15" s="9" customFormat="1" ht="12.75">
      <c r="C331" s="9">
        <v>4851209</v>
      </c>
      <c r="D331" s="10">
        <v>4870107</v>
      </c>
      <c r="E331" s="61"/>
      <c r="F331" s="12">
        <v>102</v>
      </c>
      <c r="H331" s="11">
        <v>4864651</v>
      </c>
      <c r="I331" s="11"/>
      <c r="J331" s="11"/>
      <c r="K331" s="9">
        <v>856</v>
      </c>
      <c r="L331" s="9">
        <v>353</v>
      </c>
      <c r="M331" s="10">
        <v>1969</v>
      </c>
      <c r="N331" s="9" t="s">
        <v>16</v>
      </c>
      <c r="O331" s="10" t="s">
        <v>20</v>
      </c>
    </row>
    <row r="332" spans="3:15" s="9" customFormat="1" ht="12.75">
      <c r="C332" s="9">
        <v>4851217</v>
      </c>
      <c r="D332" s="10">
        <v>4870115</v>
      </c>
      <c r="E332" s="61"/>
      <c r="F332" s="12">
        <v>102</v>
      </c>
      <c r="H332" s="11">
        <v>4863980</v>
      </c>
      <c r="I332" s="11"/>
      <c r="J332" s="11"/>
      <c r="K332" s="9">
        <v>856</v>
      </c>
      <c r="L332" s="9">
        <v>361</v>
      </c>
      <c r="M332" s="10">
        <v>1969</v>
      </c>
      <c r="N332" s="9" t="s">
        <v>16</v>
      </c>
      <c r="O332" s="10" t="s">
        <v>20</v>
      </c>
    </row>
    <row r="333" spans="3:15" s="9" customFormat="1" ht="12.75">
      <c r="C333" s="9">
        <v>4851218</v>
      </c>
      <c r="D333" s="10">
        <v>4870116</v>
      </c>
      <c r="E333" s="61"/>
      <c r="F333" s="12">
        <v>102</v>
      </c>
      <c r="H333" s="11">
        <v>4863931</v>
      </c>
      <c r="I333" s="11"/>
      <c r="J333" s="11"/>
      <c r="K333" s="9">
        <f>1218-362</f>
        <v>856</v>
      </c>
      <c r="L333" s="9">
        <v>362</v>
      </c>
      <c r="M333" s="10">
        <v>1969</v>
      </c>
      <c r="N333" s="9" t="s">
        <v>16</v>
      </c>
      <c r="O333" s="10">
        <v>2008</v>
      </c>
    </row>
    <row r="334" spans="3:15" s="9" customFormat="1" ht="12.75">
      <c r="C334" s="9">
        <v>4851220</v>
      </c>
      <c r="D334" s="10">
        <v>4870118</v>
      </c>
      <c r="E334" s="61"/>
      <c r="F334" s="12">
        <v>102</v>
      </c>
      <c r="H334" s="11">
        <v>4864687</v>
      </c>
      <c r="I334" s="11"/>
      <c r="J334" s="11"/>
      <c r="K334" s="9">
        <v>856</v>
      </c>
      <c r="L334" s="9">
        <v>364</v>
      </c>
      <c r="M334" s="10">
        <v>1969</v>
      </c>
      <c r="N334" s="9" t="s">
        <v>16</v>
      </c>
      <c r="O334" s="10" t="s">
        <v>48</v>
      </c>
    </row>
    <row r="335" spans="3:15" s="9" customFormat="1" ht="12.75">
      <c r="C335" s="9">
        <v>4851221</v>
      </c>
      <c r="D335" s="10">
        <v>4870119</v>
      </c>
      <c r="E335" s="61"/>
      <c r="F335" s="12">
        <v>102</v>
      </c>
      <c r="H335" s="11">
        <v>4863911</v>
      </c>
      <c r="I335" s="11"/>
      <c r="J335" s="11"/>
      <c r="K335" s="9">
        <v>856</v>
      </c>
      <c r="L335" s="9">
        <v>365</v>
      </c>
      <c r="M335" s="10">
        <v>1969</v>
      </c>
      <c r="N335" s="9" t="s">
        <v>16</v>
      </c>
      <c r="O335" s="10" t="s">
        <v>20</v>
      </c>
    </row>
    <row r="336" spans="3:15" s="9" customFormat="1" ht="12.75">
      <c r="C336" s="9">
        <v>4851227</v>
      </c>
      <c r="D336" s="10">
        <v>4870125</v>
      </c>
      <c r="E336" s="61"/>
      <c r="F336" s="12">
        <v>102</v>
      </c>
      <c r="H336" s="104" t="s">
        <v>24</v>
      </c>
      <c r="I336" s="104"/>
      <c r="J336" s="11">
        <v>4871276</v>
      </c>
      <c r="K336" s="9">
        <f>1227-371</f>
        <v>856</v>
      </c>
      <c r="L336" s="9">
        <v>371</v>
      </c>
      <c r="M336" s="10">
        <v>1969</v>
      </c>
      <c r="N336" s="9" t="s">
        <v>16</v>
      </c>
      <c r="O336" s="10">
        <v>2009</v>
      </c>
    </row>
    <row r="337" spans="3:15" s="9" customFormat="1" ht="12.75">
      <c r="C337" s="9">
        <v>4851228</v>
      </c>
      <c r="D337" s="9">
        <v>4870126</v>
      </c>
      <c r="E337" s="61"/>
      <c r="F337" s="12">
        <v>102</v>
      </c>
      <c r="H337" s="11">
        <v>4864673</v>
      </c>
      <c r="I337" s="11"/>
      <c r="J337" s="11"/>
      <c r="K337" s="9">
        <v>856</v>
      </c>
      <c r="L337" s="9">
        <v>372</v>
      </c>
      <c r="M337" s="10">
        <v>1969</v>
      </c>
      <c r="N337" s="9" t="s">
        <v>16</v>
      </c>
      <c r="O337" s="10">
        <v>2007</v>
      </c>
    </row>
    <row r="338" spans="2:15" s="2" customFormat="1" ht="13.5" thickBot="1">
      <c r="B338" s="2" t="s">
        <v>118</v>
      </c>
      <c r="C338" s="168">
        <v>4851229</v>
      </c>
      <c r="D338" s="168">
        <v>4870127</v>
      </c>
      <c r="E338" s="8"/>
      <c r="F338" s="4">
        <v>102</v>
      </c>
      <c r="H338" s="3"/>
      <c r="I338" s="3"/>
      <c r="J338" s="3"/>
      <c r="L338" s="5" t="s">
        <v>119</v>
      </c>
      <c r="M338" s="6"/>
      <c r="O338" s="6"/>
    </row>
    <row r="339" spans="3:15" s="9" customFormat="1" ht="12.75">
      <c r="C339" s="167">
        <v>4851230</v>
      </c>
      <c r="D339" s="165"/>
      <c r="E339" s="167">
        <v>4861966</v>
      </c>
      <c r="F339" s="12">
        <f>E339-C339</f>
        <v>10736</v>
      </c>
      <c r="H339" s="11"/>
      <c r="I339" s="11"/>
      <c r="J339" s="11"/>
      <c r="M339" s="10"/>
      <c r="O339" s="10" t="s">
        <v>20</v>
      </c>
    </row>
    <row r="340" spans="3:15" s="9" customFormat="1" ht="12.75">
      <c r="C340" s="13">
        <v>4851232</v>
      </c>
      <c r="D340" s="170" t="s">
        <v>23</v>
      </c>
      <c r="E340" s="76"/>
      <c r="F340" s="12"/>
      <c r="H340" s="11"/>
      <c r="I340" s="11"/>
      <c r="J340" s="11"/>
      <c r="M340" s="10"/>
      <c r="O340" s="10" t="s">
        <v>20</v>
      </c>
    </row>
    <row r="341" spans="3:15" s="9" customFormat="1" ht="12.75">
      <c r="C341" s="13">
        <v>4851238</v>
      </c>
      <c r="D341" s="10">
        <v>4870384</v>
      </c>
      <c r="E341" s="76"/>
      <c r="F341" s="12"/>
      <c r="H341" s="11">
        <v>4864875</v>
      </c>
      <c r="I341" s="11"/>
      <c r="J341" s="11"/>
      <c r="K341" s="9">
        <f>1238-548</f>
        <v>690</v>
      </c>
      <c r="L341" s="174">
        <v>26548</v>
      </c>
      <c r="M341" s="115">
        <v>1976</v>
      </c>
      <c r="N341" s="9" t="s">
        <v>120</v>
      </c>
      <c r="O341" s="10">
        <v>2008</v>
      </c>
    </row>
    <row r="342" spans="1:15" s="9" customFormat="1" ht="12.75">
      <c r="A342" s="9" t="s">
        <v>121</v>
      </c>
      <c r="B342" s="9" t="s">
        <v>1</v>
      </c>
      <c r="C342" s="13">
        <v>4851240</v>
      </c>
      <c r="D342" s="10"/>
      <c r="E342" s="62">
        <v>4861974</v>
      </c>
      <c r="F342" s="12">
        <v>10734</v>
      </c>
      <c r="H342" s="11"/>
      <c r="I342" s="11"/>
      <c r="J342" s="11"/>
      <c r="M342" s="13" t="s">
        <v>106</v>
      </c>
      <c r="N342" s="9" t="s">
        <v>97</v>
      </c>
      <c r="O342" s="10"/>
    </row>
    <row r="343" spans="3:15" s="9" customFormat="1" ht="12.75">
      <c r="C343" s="9">
        <v>4851245</v>
      </c>
      <c r="E343" s="11">
        <v>4861979</v>
      </c>
      <c r="F343" s="12">
        <f aca="true" t="shared" si="7" ref="F343:F363">E343-C343</f>
        <v>10734</v>
      </c>
      <c r="H343" s="11"/>
      <c r="I343" s="11"/>
      <c r="J343" s="11"/>
      <c r="M343" s="10"/>
      <c r="O343" s="10">
        <v>2006</v>
      </c>
    </row>
    <row r="344" spans="3:15" s="9" customFormat="1" ht="12.75">
      <c r="C344" s="9">
        <v>4851249</v>
      </c>
      <c r="E344" s="11">
        <v>4861983</v>
      </c>
      <c r="F344" s="12">
        <f t="shared" si="7"/>
        <v>10734</v>
      </c>
      <c r="H344" s="11"/>
      <c r="I344" s="11"/>
      <c r="J344" s="11"/>
      <c r="M344" s="13" t="s">
        <v>106</v>
      </c>
      <c r="N344" s="9" t="s">
        <v>97</v>
      </c>
      <c r="O344" s="10">
        <v>2008</v>
      </c>
    </row>
    <row r="345" spans="3:15" s="9" customFormat="1" ht="12.75">
      <c r="C345" s="9">
        <v>4851257</v>
      </c>
      <c r="E345" s="11">
        <v>4861991</v>
      </c>
      <c r="F345" s="12">
        <f t="shared" si="7"/>
        <v>10734</v>
      </c>
      <c r="M345" s="10"/>
      <c r="O345" s="10">
        <v>2006</v>
      </c>
    </row>
    <row r="346" spans="3:15" s="9" customFormat="1" ht="12.75">
      <c r="C346" s="198">
        <v>4851261</v>
      </c>
      <c r="E346" s="11">
        <v>4861995</v>
      </c>
      <c r="F346" s="12">
        <f t="shared" si="7"/>
        <v>10734</v>
      </c>
      <c r="M346" s="10">
        <v>1968</v>
      </c>
      <c r="N346" s="198" t="s">
        <v>97</v>
      </c>
      <c r="O346" s="10">
        <v>2014</v>
      </c>
    </row>
    <row r="347" spans="3:15" s="9" customFormat="1" ht="12.75">
      <c r="C347" s="9">
        <v>4851268</v>
      </c>
      <c r="E347" s="11">
        <v>4862002</v>
      </c>
      <c r="F347" s="12">
        <f t="shared" si="7"/>
        <v>10734</v>
      </c>
      <c r="M347" s="10">
        <v>1968</v>
      </c>
      <c r="N347" s="9" t="s">
        <v>97</v>
      </c>
      <c r="O347" s="10">
        <v>2007</v>
      </c>
    </row>
    <row r="348" spans="3:15" s="9" customFormat="1" ht="12.75">
      <c r="C348" s="9">
        <v>4851281</v>
      </c>
      <c r="E348" s="11">
        <v>4862015</v>
      </c>
      <c r="F348" s="12">
        <f t="shared" si="7"/>
        <v>10734</v>
      </c>
      <c r="M348" s="10">
        <v>1969</v>
      </c>
      <c r="N348" s="9" t="s">
        <v>97</v>
      </c>
      <c r="O348" s="10">
        <v>2008</v>
      </c>
    </row>
    <row r="349" spans="3:15" s="9" customFormat="1" ht="12.75">
      <c r="C349" s="9">
        <v>4851286</v>
      </c>
      <c r="E349" s="11">
        <v>4862020</v>
      </c>
      <c r="F349" s="12">
        <f t="shared" si="7"/>
        <v>10734</v>
      </c>
      <c r="M349" s="10">
        <v>1969</v>
      </c>
      <c r="N349" s="9" t="s">
        <v>97</v>
      </c>
      <c r="O349" s="10">
        <v>2005</v>
      </c>
    </row>
    <row r="350" spans="3:15" s="9" customFormat="1" ht="12.75">
      <c r="C350" s="9">
        <v>4851288</v>
      </c>
      <c r="E350" s="11">
        <v>4862022</v>
      </c>
      <c r="F350" s="12">
        <f t="shared" si="7"/>
        <v>10734</v>
      </c>
      <c r="M350" s="13" t="s">
        <v>122</v>
      </c>
      <c r="N350" s="9" t="s">
        <v>97</v>
      </c>
      <c r="O350" s="10">
        <v>2006</v>
      </c>
    </row>
    <row r="351" spans="3:15" s="9" customFormat="1" ht="12.75">
      <c r="C351" s="9">
        <v>4851292</v>
      </c>
      <c r="E351" s="11">
        <v>4862026</v>
      </c>
      <c r="F351" s="12">
        <f t="shared" si="7"/>
        <v>10734</v>
      </c>
      <c r="M351" s="10"/>
      <c r="O351" s="10">
        <v>2004</v>
      </c>
    </row>
    <row r="352" spans="2:15" s="9" customFormat="1" ht="12.75">
      <c r="B352" s="9" t="s">
        <v>77</v>
      </c>
      <c r="C352" s="198">
        <v>4851293</v>
      </c>
      <c r="E352" s="11">
        <v>4862027</v>
      </c>
      <c r="F352" s="200">
        <f t="shared" si="7"/>
        <v>10734</v>
      </c>
      <c r="M352" s="13" t="s">
        <v>122</v>
      </c>
      <c r="N352" s="198" t="s">
        <v>97</v>
      </c>
      <c r="O352" s="10">
        <v>2010</v>
      </c>
    </row>
    <row r="353" spans="3:15" s="9" customFormat="1" ht="12.75">
      <c r="C353" s="9">
        <v>4851296</v>
      </c>
      <c r="E353" s="11">
        <v>4862030</v>
      </c>
      <c r="F353" s="12">
        <f t="shared" si="7"/>
        <v>10734</v>
      </c>
      <c r="M353" s="10">
        <v>1969</v>
      </c>
      <c r="N353" s="9" t="s">
        <v>97</v>
      </c>
      <c r="O353" s="10">
        <v>2006</v>
      </c>
    </row>
    <row r="354" spans="3:15" s="9" customFormat="1" ht="12.75">
      <c r="C354" s="9">
        <v>4851298</v>
      </c>
      <c r="E354" s="11">
        <v>4862032</v>
      </c>
      <c r="F354" s="12">
        <f t="shared" si="7"/>
        <v>10734</v>
      </c>
      <c r="M354" s="13" t="s">
        <v>122</v>
      </c>
      <c r="N354" s="9" t="s">
        <v>97</v>
      </c>
      <c r="O354" s="10">
        <v>2009</v>
      </c>
    </row>
    <row r="355" spans="3:15" s="9" customFormat="1" ht="12.75">
      <c r="C355" s="9">
        <v>4851299</v>
      </c>
      <c r="E355" s="11">
        <v>4862033</v>
      </c>
      <c r="F355" s="12">
        <f t="shared" si="7"/>
        <v>10734</v>
      </c>
      <c r="M355" s="10">
        <v>1969</v>
      </c>
      <c r="N355" s="9" t="s">
        <v>97</v>
      </c>
      <c r="O355" s="10">
        <v>2007</v>
      </c>
    </row>
    <row r="356" spans="3:15" s="9" customFormat="1" ht="12.75">
      <c r="C356" s="9">
        <v>4851300</v>
      </c>
      <c r="E356" s="11">
        <v>4862034</v>
      </c>
      <c r="F356" s="12">
        <f t="shared" si="7"/>
        <v>10734</v>
      </c>
      <c r="M356" s="10">
        <v>1969</v>
      </c>
      <c r="N356" s="9" t="s">
        <v>97</v>
      </c>
      <c r="O356" s="10">
        <v>2008</v>
      </c>
    </row>
    <row r="357" spans="3:15" s="9" customFormat="1" ht="12.75">
      <c r="C357" s="9">
        <v>4851310</v>
      </c>
      <c r="E357" s="11">
        <v>4862044</v>
      </c>
      <c r="F357" s="12">
        <f t="shared" si="7"/>
        <v>10734</v>
      </c>
      <c r="M357" s="10">
        <v>1969</v>
      </c>
      <c r="N357" s="9" t="s">
        <v>97</v>
      </c>
      <c r="O357" s="10">
        <v>2005</v>
      </c>
    </row>
    <row r="358" spans="3:15" s="9" customFormat="1" ht="12.75">
      <c r="C358" s="9">
        <v>4851311</v>
      </c>
      <c r="E358" s="11">
        <v>4862045</v>
      </c>
      <c r="F358" s="12">
        <f t="shared" si="7"/>
        <v>10734</v>
      </c>
      <c r="M358" s="10"/>
      <c r="O358" s="10" t="s">
        <v>75</v>
      </c>
    </row>
    <row r="359" spans="3:15" s="9" customFormat="1" ht="12.75">
      <c r="C359" s="9">
        <v>4851313</v>
      </c>
      <c r="E359" s="232">
        <v>4862047</v>
      </c>
      <c r="F359" s="12">
        <f t="shared" si="7"/>
        <v>10734</v>
      </c>
      <c r="M359" s="10">
        <v>1969</v>
      </c>
      <c r="N359" s="9" t="s">
        <v>97</v>
      </c>
      <c r="O359" s="10"/>
    </row>
    <row r="360" spans="3:15" s="9" customFormat="1" ht="12.75">
      <c r="C360" s="9">
        <v>4851315</v>
      </c>
      <c r="E360" s="70">
        <v>4862049</v>
      </c>
      <c r="F360" s="12">
        <f t="shared" si="7"/>
        <v>10734</v>
      </c>
      <c r="M360" s="10">
        <v>1969</v>
      </c>
      <c r="N360" s="9" t="s">
        <v>97</v>
      </c>
      <c r="O360" s="10">
        <v>2008</v>
      </c>
    </row>
    <row r="361" spans="3:15" s="9" customFormat="1" ht="12.75">
      <c r="C361" s="198">
        <v>4851323</v>
      </c>
      <c r="E361" s="70">
        <v>4862057</v>
      </c>
      <c r="F361" s="200">
        <f t="shared" si="7"/>
        <v>10734</v>
      </c>
      <c r="M361" s="10">
        <v>1969</v>
      </c>
      <c r="N361" s="198" t="s">
        <v>97</v>
      </c>
      <c r="O361" s="10">
        <v>2010</v>
      </c>
    </row>
    <row r="362" spans="3:15" s="9" customFormat="1" ht="12.75">
      <c r="C362" s="9">
        <v>4851324</v>
      </c>
      <c r="E362" s="70">
        <v>4862058</v>
      </c>
      <c r="F362" s="12">
        <f t="shared" si="7"/>
        <v>10734</v>
      </c>
      <c r="H362" s="16"/>
      <c r="I362" s="16"/>
      <c r="J362" s="16"/>
      <c r="K362" s="9">
        <f>324-45</f>
        <v>279</v>
      </c>
      <c r="L362" s="9">
        <v>27045</v>
      </c>
      <c r="M362" s="10">
        <v>1969</v>
      </c>
      <c r="N362" s="9" t="s">
        <v>97</v>
      </c>
      <c r="O362" s="10">
        <v>2008</v>
      </c>
    </row>
    <row r="363" spans="3:15" s="9" customFormat="1" ht="12.75">
      <c r="C363" s="198">
        <v>4851325</v>
      </c>
      <c r="E363" s="70">
        <v>4862059</v>
      </c>
      <c r="F363" s="200">
        <f t="shared" si="7"/>
        <v>10734</v>
      </c>
      <c r="H363" s="16"/>
      <c r="I363" s="16"/>
      <c r="J363" s="16"/>
      <c r="M363" s="10">
        <v>1969</v>
      </c>
      <c r="N363" s="198" t="s">
        <v>97</v>
      </c>
      <c r="O363" s="10">
        <v>2010</v>
      </c>
    </row>
    <row r="364" spans="3:15" s="9" customFormat="1" ht="12.75">
      <c r="C364" s="9">
        <v>4851329</v>
      </c>
      <c r="D364" s="9">
        <v>4870356</v>
      </c>
      <c r="E364" s="61"/>
      <c r="F364" s="12"/>
      <c r="H364" s="136">
        <v>4864872</v>
      </c>
      <c r="I364" s="16"/>
      <c r="J364" s="16"/>
      <c r="K364" s="9">
        <v>279</v>
      </c>
      <c r="L364" s="9">
        <v>27050</v>
      </c>
      <c r="M364" s="10">
        <v>1969</v>
      </c>
      <c r="N364" s="9" t="s">
        <v>97</v>
      </c>
      <c r="O364" s="10" t="s">
        <v>20</v>
      </c>
    </row>
    <row r="365" spans="3:15" s="9" customFormat="1" ht="12.75">
      <c r="C365" s="9">
        <v>4851331</v>
      </c>
      <c r="E365" s="11">
        <v>4862064</v>
      </c>
      <c r="F365" s="12">
        <f aca="true" t="shared" si="8" ref="F365:F375">E365-C365</f>
        <v>10733</v>
      </c>
      <c r="M365" s="10">
        <v>1969</v>
      </c>
      <c r="N365" s="9" t="s">
        <v>97</v>
      </c>
      <c r="O365" s="10" t="s">
        <v>123</v>
      </c>
    </row>
    <row r="366" spans="3:15" s="9" customFormat="1" ht="12.75">
      <c r="C366" s="198">
        <v>4851332</v>
      </c>
      <c r="E366" s="11">
        <v>4862065</v>
      </c>
      <c r="F366" s="200">
        <f t="shared" si="8"/>
        <v>10733</v>
      </c>
      <c r="M366" s="10">
        <v>1969</v>
      </c>
      <c r="N366" s="198" t="s">
        <v>97</v>
      </c>
      <c r="O366" s="10">
        <v>2010</v>
      </c>
    </row>
    <row r="367" spans="3:15" s="9" customFormat="1" ht="12.75">
      <c r="C367" s="9">
        <v>4851333</v>
      </c>
      <c r="E367" s="11">
        <v>4862066</v>
      </c>
      <c r="F367" s="12">
        <f t="shared" si="8"/>
        <v>10733</v>
      </c>
      <c r="M367" s="10">
        <v>1969</v>
      </c>
      <c r="N367" s="9" t="s">
        <v>97</v>
      </c>
      <c r="O367" s="10">
        <v>2006</v>
      </c>
    </row>
    <row r="368" spans="3:15" s="9" customFormat="1" ht="12.75">
      <c r="C368" s="9">
        <v>4851334</v>
      </c>
      <c r="E368" s="11">
        <v>4862067</v>
      </c>
      <c r="F368" s="12">
        <f t="shared" si="8"/>
        <v>10733</v>
      </c>
      <c r="M368" s="10">
        <v>1969</v>
      </c>
      <c r="N368" s="9" t="s">
        <v>97</v>
      </c>
      <c r="O368" s="10">
        <v>2000</v>
      </c>
    </row>
    <row r="369" spans="3:15" s="9" customFormat="1" ht="12.75">
      <c r="C369" s="198">
        <v>4851336</v>
      </c>
      <c r="E369" s="11">
        <v>4862069</v>
      </c>
      <c r="F369" s="200">
        <f t="shared" si="8"/>
        <v>10733</v>
      </c>
      <c r="M369" s="10">
        <v>1969</v>
      </c>
      <c r="N369" s="198" t="s">
        <v>97</v>
      </c>
      <c r="O369" s="10">
        <v>2010</v>
      </c>
    </row>
    <row r="370" spans="3:15" s="9" customFormat="1" ht="12.75">
      <c r="C370" s="198">
        <v>4851340</v>
      </c>
      <c r="E370" s="11">
        <v>4862073</v>
      </c>
      <c r="F370" s="200">
        <f t="shared" si="8"/>
        <v>10733</v>
      </c>
      <c r="M370" s="10">
        <v>1969</v>
      </c>
      <c r="N370" s="198" t="s">
        <v>97</v>
      </c>
      <c r="O370" s="10">
        <v>2012</v>
      </c>
    </row>
    <row r="371" spans="3:15" s="9" customFormat="1" ht="12.75">
      <c r="C371" s="9">
        <v>4851342</v>
      </c>
      <c r="E371" s="11">
        <v>4862075</v>
      </c>
      <c r="F371" s="12">
        <f t="shared" si="8"/>
        <v>10733</v>
      </c>
      <c r="M371" s="10">
        <v>1969</v>
      </c>
      <c r="N371" s="9" t="s">
        <v>97</v>
      </c>
      <c r="O371" s="10">
        <v>2008</v>
      </c>
    </row>
    <row r="372" spans="3:15" s="9" customFormat="1" ht="12.75">
      <c r="C372" s="9">
        <v>4851346</v>
      </c>
      <c r="E372" s="11">
        <v>4862079</v>
      </c>
      <c r="F372" s="12">
        <f t="shared" si="8"/>
        <v>10733</v>
      </c>
      <c r="K372" s="9">
        <v>279</v>
      </c>
      <c r="L372" s="9">
        <v>27067</v>
      </c>
      <c r="M372" s="10">
        <v>1969</v>
      </c>
      <c r="N372" s="9" t="s">
        <v>124</v>
      </c>
      <c r="O372" s="10" t="s">
        <v>86</v>
      </c>
    </row>
    <row r="373" spans="3:15" s="9" customFormat="1" ht="12.75">
      <c r="C373" s="9">
        <v>4851348</v>
      </c>
      <c r="E373" s="11">
        <v>4862081</v>
      </c>
      <c r="F373" s="12">
        <f t="shared" si="8"/>
        <v>10733</v>
      </c>
      <c r="K373" s="9">
        <f>348-69</f>
        <v>279</v>
      </c>
      <c r="L373" s="9">
        <v>27069</v>
      </c>
      <c r="M373" s="10">
        <v>1969</v>
      </c>
      <c r="N373" s="9" t="s">
        <v>97</v>
      </c>
      <c r="O373" s="10">
        <v>2008</v>
      </c>
    </row>
    <row r="374" spans="3:15" s="9" customFormat="1" ht="12.75">
      <c r="C374" s="9">
        <v>4851356</v>
      </c>
      <c r="E374" s="11">
        <v>4862089</v>
      </c>
      <c r="F374" s="12">
        <f t="shared" si="8"/>
        <v>10733</v>
      </c>
      <c r="M374" s="10">
        <v>1969</v>
      </c>
      <c r="N374" s="9" t="s">
        <v>97</v>
      </c>
      <c r="O374" s="10">
        <v>2008</v>
      </c>
    </row>
    <row r="375" spans="3:15" s="9" customFormat="1" ht="12.75">
      <c r="C375" s="9">
        <v>4851357</v>
      </c>
      <c r="E375" s="11">
        <v>4862090</v>
      </c>
      <c r="F375" s="12">
        <f t="shared" si="8"/>
        <v>10733</v>
      </c>
      <c r="M375" s="10">
        <v>1969</v>
      </c>
      <c r="N375" s="9" t="s">
        <v>97</v>
      </c>
      <c r="O375" s="10">
        <v>2008</v>
      </c>
    </row>
    <row r="376" spans="3:15" s="9" customFormat="1" ht="12.75">
      <c r="C376" s="9">
        <v>4851362</v>
      </c>
      <c r="E376" s="233">
        <v>4862095</v>
      </c>
      <c r="F376" s="12">
        <v>10733</v>
      </c>
      <c r="M376" s="10">
        <v>1969</v>
      </c>
      <c r="N376" s="9" t="s">
        <v>97</v>
      </c>
      <c r="O376" s="10"/>
    </row>
    <row r="377" spans="3:15" s="9" customFormat="1" ht="12.75">
      <c r="C377" s="9">
        <v>4851363</v>
      </c>
      <c r="E377" s="11">
        <v>4862096</v>
      </c>
      <c r="F377" s="12">
        <f aca="true" t="shared" si="9" ref="F377:F391">E377-C377</f>
        <v>10733</v>
      </c>
      <c r="M377" s="10"/>
      <c r="O377" s="10">
        <v>2006</v>
      </c>
    </row>
    <row r="378" spans="3:15" s="9" customFormat="1" ht="12.75">
      <c r="C378" s="9">
        <v>4851367</v>
      </c>
      <c r="E378" s="11">
        <v>4862100</v>
      </c>
      <c r="F378" s="12">
        <f t="shared" si="9"/>
        <v>10733</v>
      </c>
      <c r="M378" s="10">
        <v>1969</v>
      </c>
      <c r="O378" s="10">
        <v>2006</v>
      </c>
    </row>
    <row r="379" spans="3:15" s="9" customFormat="1" ht="12.75">
      <c r="C379" s="9">
        <v>4851368</v>
      </c>
      <c r="E379" s="11">
        <v>4862101</v>
      </c>
      <c r="F379" s="12">
        <f t="shared" si="9"/>
        <v>10733</v>
      </c>
      <c r="M379" s="10">
        <v>1969</v>
      </c>
      <c r="N379" s="9" t="s">
        <v>97</v>
      </c>
      <c r="O379" s="10">
        <v>2007</v>
      </c>
    </row>
    <row r="380" spans="3:15" s="9" customFormat="1" ht="12.75">
      <c r="C380" s="9">
        <v>4851370</v>
      </c>
      <c r="E380" s="11">
        <v>4862103</v>
      </c>
      <c r="F380" s="12">
        <f t="shared" si="9"/>
        <v>10733</v>
      </c>
      <c r="I380" s="9">
        <v>2012</v>
      </c>
      <c r="J380" s="9" t="s">
        <v>125</v>
      </c>
      <c r="K380" s="9">
        <v>279</v>
      </c>
      <c r="L380" s="9">
        <v>27091</v>
      </c>
      <c r="M380" s="10">
        <v>1969</v>
      </c>
      <c r="N380" s="9" t="s">
        <v>97</v>
      </c>
      <c r="O380" s="10" t="s">
        <v>126</v>
      </c>
    </row>
    <row r="381" spans="3:15" s="9" customFormat="1" ht="12.75">
      <c r="C381" s="198">
        <v>4851372</v>
      </c>
      <c r="E381" s="11">
        <v>4862105</v>
      </c>
      <c r="F381" s="200">
        <f t="shared" si="9"/>
        <v>10733</v>
      </c>
      <c r="M381" s="10">
        <v>1969</v>
      </c>
      <c r="N381" s="198" t="s">
        <v>97</v>
      </c>
      <c r="O381" s="10">
        <v>2010</v>
      </c>
    </row>
    <row r="382" spans="3:15" s="9" customFormat="1" ht="12.75">
      <c r="C382" s="9">
        <v>4851375</v>
      </c>
      <c r="E382" s="11">
        <v>4862108</v>
      </c>
      <c r="F382" s="12">
        <f t="shared" si="9"/>
        <v>10733</v>
      </c>
      <c r="M382" s="10">
        <v>1969</v>
      </c>
      <c r="N382" s="9" t="s">
        <v>97</v>
      </c>
      <c r="O382" s="10">
        <v>2009</v>
      </c>
    </row>
    <row r="383" spans="3:15" s="9" customFormat="1" ht="12.75">
      <c r="C383" s="9">
        <v>4851376</v>
      </c>
      <c r="E383" s="11">
        <v>4862109</v>
      </c>
      <c r="F383" s="12">
        <f t="shared" si="9"/>
        <v>10733</v>
      </c>
      <c r="M383" s="10">
        <v>1969</v>
      </c>
      <c r="N383" s="9" t="s">
        <v>97</v>
      </c>
      <c r="O383" s="10">
        <v>2008</v>
      </c>
    </row>
    <row r="384" spans="3:15" s="9" customFormat="1" ht="12.75">
      <c r="C384" s="9">
        <v>4851379</v>
      </c>
      <c r="E384" s="11">
        <v>4862112</v>
      </c>
      <c r="F384" s="12">
        <f t="shared" si="9"/>
        <v>10733</v>
      </c>
      <c r="M384" s="10"/>
      <c r="O384" s="10">
        <v>2008</v>
      </c>
    </row>
    <row r="385" spans="3:15" s="9" customFormat="1" ht="12.75">
      <c r="C385" s="9">
        <v>4851383</v>
      </c>
      <c r="E385" s="11">
        <v>4862116</v>
      </c>
      <c r="F385" s="12">
        <f t="shared" si="9"/>
        <v>10733</v>
      </c>
      <c r="K385" s="9">
        <v>279</v>
      </c>
      <c r="L385" s="9">
        <v>27104</v>
      </c>
      <c r="M385" s="10">
        <v>1969</v>
      </c>
      <c r="N385" s="9" t="s">
        <v>97</v>
      </c>
      <c r="O385" s="10">
        <v>2008</v>
      </c>
    </row>
    <row r="386" spans="3:15" s="9" customFormat="1" ht="12.75">
      <c r="C386" s="198">
        <v>4851384</v>
      </c>
      <c r="E386" s="11">
        <v>4862117</v>
      </c>
      <c r="F386" s="200">
        <f t="shared" si="9"/>
        <v>10733</v>
      </c>
      <c r="M386" s="10">
        <v>1969</v>
      </c>
      <c r="N386" s="198" t="s">
        <v>97</v>
      </c>
      <c r="O386" s="10">
        <v>2011</v>
      </c>
    </row>
    <row r="387" spans="3:15" s="9" customFormat="1" ht="12.75">
      <c r="C387" s="9">
        <v>4851386</v>
      </c>
      <c r="E387" s="11">
        <v>4862119</v>
      </c>
      <c r="F387" s="12">
        <f t="shared" si="9"/>
        <v>10733</v>
      </c>
      <c r="M387" s="10"/>
      <c r="O387" s="10" t="s">
        <v>75</v>
      </c>
    </row>
    <row r="388" spans="3:15" s="9" customFormat="1" ht="12.75">
      <c r="C388" s="198">
        <v>4851394</v>
      </c>
      <c r="E388" s="11">
        <v>4862127</v>
      </c>
      <c r="F388" s="200">
        <f t="shared" si="9"/>
        <v>10733</v>
      </c>
      <c r="M388" s="13" t="s">
        <v>127</v>
      </c>
      <c r="N388" s="198" t="s">
        <v>97</v>
      </c>
      <c r="O388" s="10">
        <v>2009</v>
      </c>
    </row>
    <row r="389" spans="3:15" s="9" customFormat="1" ht="12.75">
      <c r="C389" s="9">
        <v>4851396</v>
      </c>
      <c r="E389" s="11">
        <v>4862129</v>
      </c>
      <c r="F389" s="12">
        <f t="shared" si="9"/>
        <v>10733</v>
      </c>
      <c r="K389" s="9">
        <f>396-117</f>
        <v>279</v>
      </c>
      <c r="L389" s="9">
        <v>27117</v>
      </c>
      <c r="M389" s="10">
        <v>1969</v>
      </c>
      <c r="N389" s="9" t="s">
        <v>96</v>
      </c>
      <c r="O389" s="10">
        <v>2006</v>
      </c>
    </row>
    <row r="390" spans="3:15" s="9" customFormat="1" ht="12.75">
      <c r="C390" s="9">
        <v>4851397</v>
      </c>
      <c r="E390" s="11">
        <v>4862130</v>
      </c>
      <c r="F390" s="12">
        <f t="shared" si="9"/>
        <v>10733</v>
      </c>
      <c r="M390" s="10">
        <v>1969</v>
      </c>
      <c r="N390" s="9" t="s">
        <v>97</v>
      </c>
      <c r="O390" s="10">
        <v>2006</v>
      </c>
    </row>
    <row r="391" spans="3:15" s="9" customFormat="1" ht="12.75">
      <c r="C391" s="9">
        <v>4851398</v>
      </c>
      <c r="E391" s="11">
        <v>4862131</v>
      </c>
      <c r="F391" s="12">
        <f t="shared" si="9"/>
        <v>10733</v>
      </c>
      <c r="K391" s="9">
        <f>398-119</f>
        <v>279</v>
      </c>
      <c r="L391" s="9">
        <v>27119</v>
      </c>
      <c r="M391" s="10">
        <v>1969</v>
      </c>
      <c r="N391" s="9" t="s">
        <v>97</v>
      </c>
      <c r="O391" s="10">
        <v>2006</v>
      </c>
    </row>
    <row r="392" spans="3:15" s="44" customFormat="1" ht="14.25" thickBot="1">
      <c r="C392" s="175">
        <v>4851399</v>
      </c>
      <c r="D392" s="175"/>
      <c r="E392" s="176"/>
      <c r="F392" s="175"/>
      <c r="G392" s="175"/>
      <c r="H392" s="175"/>
      <c r="I392" s="175"/>
      <c r="J392" s="175"/>
      <c r="K392" s="175"/>
      <c r="L392" s="175">
        <v>27120</v>
      </c>
      <c r="M392" s="45"/>
      <c r="O392" s="45" t="s">
        <v>20</v>
      </c>
    </row>
    <row r="393" spans="3:15" s="47" customFormat="1" ht="13.5">
      <c r="C393" s="166">
        <v>4851400</v>
      </c>
      <c r="D393" s="166"/>
      <c r="E393" s="177"/>
      <c r="F393" s="166"/>
      <c r="G393" s="166"/>
      <c r="H393" s="166"/>
      <c r="I393" s="166"/>
      <c r="J393" s="166"/>
      <c r="K393" s="166">
        <f>1400-582</f>
        <v>818</v>
      </c>
      <c r="L393" s="166">
        <v>27582</v>
      </c>
      <c r="M393" s="49"/>
      <c r="O393" s="49" t="s">
        <v>20</v>
      </c>
    </row>
    <row r="394" spans="3:15" s="9" customFormat="1" ht="12.75">
      <c r="C394" s="9">
        <v>4851401</v>
      </c>
      <c r="D394" s="9">
        <v>4870403</v>
      </c>
      <c r="E394" s="61"/>
      <c r="F394" s="12"/>
      <c r="H394" s="39">
        <v>4864812</v>
      </c>
      <c r="I394" s="39"/>
      <c r="K394" s="9">
        <v>818</v>
      </c>
      <c r="L394" s="9">
        <v>27583</v>
      </c>
      <c r="M394" s="10">
        <v>1969</v>
      </c>
      <c r="N394" s="9" t="s">
        <v>96</v>
      </c>
      <c r="O394" s="10" t="s">
        <v>30</v>
      </c>
    </row>
    <row r="395" spans="3:15" s="9" customFormat="1" ht="12.75">
      <c r="C395" s="9">
        <v>4851404</v>
      </c>
      <c r="E395" s="11">
        <v>4862136</v>
      </c>
      <c r="F395" s="12">
        <f aca="true" t="shared" si="10" ref="F395:F414">E395-C395</f>
        <v>10732</v>
      </c>
      <c r="M395" s="10"/>
      <c r="O395" s="10">
        <v>2005</v>
      </c>
    </row>
    <row r="396" spans="3:15" s="9" customFormat="1" ht="12.75">
      <c r="C396" s="9">
        <v>4851406</v>
      </c>
      <c r="E396" s="11">
        <v>4862138</v>
      </c>
      <c r="F396" s="12">
        <f t="shared" si="10"/>
        <v>10732</v>
      </c>
      <c r="M396" s="10">
        <v>1969</v>
      </c>
      <c r="N396" s="9" t="s">
        <v>97</v>
      </c>
      <c r="O396" s="10">
        <v>2007</v>
      </c>
    </row>
    <row r="397" spans="3:15" s="9" customFormat="1" ht="12.75">
      <c r="C397" s="198">
        <v>4851411</v>
      </c>
      <c r="E397" s="11">
        <v>4862143</v>
      </c>
      <c r="F397" s="12">
        <f t="shared" si="10"/>
        <v>10732</v>
      </c>
      <c r="K397" s="9">
        <v>818</v>
      </c>
      <c r="L397" s="198">
        <v>27593</v>
      </c>
      <c r="M397" s="13" t="s">
        <v>128</v>
      </c>
      <c r="N397" s="9" t="s">
        <v>97</v>
      </c>
      <c r="O397" s="10">
        <v>2011</v>
      </c>
    </row>
    <row r="398" spans="3:15" s="9" customFormat="1" ht="12.75">
      <c r="C398" s="9">
        <v>4851412</v>
      </c>
      <c r="E398" s="11">
        <v>4862144</v>
      </c>
      <c r="F398" s="12">
        <f t="shared" si="10"/>
        <v>10732</v>
      </c>
      <c r="J398" s="9" t="s">
        <v>129</v>
      </c>
      <c r="L398" s="9" t="s">
        <v>33</v>
      </c>
      <c r="M398" s="13" t="s">
        <v>128</v>
      </c>
      <c r="N398" s="9" t="s">
        <v>97</v>
      </c>
      <c r="O398" s="10">
        <v>2008</v>
      </c>
    </row>
    <row r="399" spans="3:15" s="9" customFormat="1" ht="12.75">
      <c r="C399" s="198">
        <v>4851413</v>
      </c>
      <c r="E399" s="11">
        <v>4862145</v>
      </c>
      <c r="F399" s="12">
        <f t="shared" si="10"/>
        <v>10732</v>
      </c>
      <c r="J399" s="9" t="s">
        <v>129</v>
      </c>
      <c r="K399" s="9">
        <f>1413-595</f>
        <v>818</v>
      </c>
      <c r="L399" s="9">
        <v>27595</v>
      </c>
      <c r="M399" s="13" t="s">
        <v>130</v>
      </c>
      <c r="N399" s="198" t="s">
        <v>96</v>
      </c>
      <c r="O399" s="10">
        <v>2010</v>
      </c>
    </row>
    <row r="400" spans="3:15" s="9" customFormat="1" ht="12.75">
      <c r="C400" s="9">
        <v>4851428</v>
      </c>
      <c r="E400" s="11">
        <v>4862160</v>
      </c>
      <c r="F400" s="12">
        <f t="shared" si="10"/>
        <v>10732</v>
      </c>
      <c r="M400" s="10">
        <v>1969</v>
      </c>
      <c r="N400" s="9" t="s">
        <v>97</v>
      </c>
      <c r="O400" s="10">
        <v>2003</v>
      </c>
    </row>
    <row r="401" spans="3:15" s="9" customFormat="1" ht="12.75">
      <c r="C401" s="9">
        <v>4851431</v>
      </c>
      <c r="E401" s="11">
        <v>4862163</v>
      </c>
      <c r="F401" s="12">
        <f t="shared" si="10"/>
        <v>10732</v>
      </c>
      <c r="M401" s="10">
        <v>1969</v>
      </c>
      <c r="N401" s="9" t="s">
        <v>97</v>
      </c>
      <c r="O401" s="10">
        <v>2008</v>
      </c>
    </row>
    <row r="402" spans="3:15" s="9" customFormat="1" ht="12.75">
      <c r="C402" s="9">
        <v>4851432</v>
      </c>
      <c r="E402" s="11">
        <v>4862164</v>
      </c>
      <c r="F402" s="12">
        <f t="shared" si="10"/>
        <v>10732</v>
      </c>
      <c r="M402" s="10">
        <v>1969</v>
      </c>
      <c r="N402" s="9" t="s">
        <v>97</v>
      </c>
      <c r="O402" s="10">
        <v>2006</v>
      </c>
    </row>
    <row r="403" spans="3:15" s="9" customFormat="1" ht="12.75">
      <c r="C403" s="9">
        <v>4851437</v>
      </c>
      <c r="E403" s="11">
        <v>4862169</v>
      </c>
      <c r="F403" s="12">
        <f t="shared" si="10"/>
        <v>10732</v>
      </c>
      <c r="M403" s="10"/>
      <c r="N403" s="9" t="s">
        <v>97</v>
      </c>
      <c r="O403" s="10">
        <v>2006</v>
      </c>
    </row>
    <row r="404" spans="3:15" s="9" customFormat="1" ht="12.75">
      <c r="C404" s="9">
        <v>4851440</v>
      </c>
      <c r="E404" s="9">
        <v>4862172</v>
      </c>
      <c r="F404" s="12">
        <f t="shared" si="10"/>
        <v>10732</v>
      </c>
      <c r="M404" s="10">
        <v>1969</v>
      </c>
      <c r="N404" s="9" t="s">
        <v>97</v>
      </c>
      <c r="O404" s="10"/>
    </row>
    <row r="405" spans="3:15" s="9" customFormat="1" ht="12.75">
      <c r="C405" s="9">
        <v>4851447</v>
      </c>
      <c r="E405" s="66">
        <v>4862179</v>
      </c>
      <c r="F405" s="12">
        <f t="shared" si="10"/>
        <v>10732</v>
      </c>
      <c r="M405" s="10"/>
      <c r="O405" s="10" t="s">
        <v>75</v>
      </c>
    </row>
    <row r="406" spans="3:15" s="9" customFormat="1" ht="12.75">
      <c r="C406" s="9">
        <v>4851448</v>
      </c>
      <c r="E406" s="11">
        <v>4862180</v>
      </c>
      <c r="F406" s="12">
        <f t="shared" si="10"/>
        <v>10732</v>
      </c>
      <c r="M406" s="10">
        <v>1969</v>
      </c>
      <c r="N406" s="9" t="s">
        <v>97</v>
      </c>
      <c r="O406" s="10">
        <v>2007</v>
      </c>
    </row>
    <row r="407" spans="3:15" s="9" customFormat="1" ht="12.75">
      <c r="C407" s="9">
        <v>4851450</v>
      </c>
      <c r="E407" s="11">
        <v>4862182</v>
      </c>
      <c r="F407" s="12">
        <f t="shared" si="10"/>
        <v>10732</v>
      </c>
      <c r="J407" s="9" t="s">
        <v>129</v>
      </c>
      <c r="K407" s="9">
        <v>818</v>
      </c>
      <c r="L407" s="10" t="s">
        <v>131</v>
      </c>
      <c r="M407" s="13" t="s">
        <v>132</v>
      </c>
      <c r="N407" s="9" t="s">
        <v>97</v>
      </c>
      <c r="O407" s="10">
        <v>2008</v>
      </c>
    </row>
    <row r="408" spans="3:15" s="9" customFormat="1" ht="12.75">
      <c r="C408" s="9">
        <v>4851452</v>
      </c>
      <c r="E408" s="11">
        <v>4862184</v>
      </c>
      <c r="F408" s="12">
        <f t="shared" si="10"/>
        <v>10732</v>
      </c>
      <c r="M408" s="10">
        <v>1969</v>
      </c>
      <c r="N408" s="9" t="s">
        <v>96</v>
      </c>
      <c r="O408" s="10">
        <v>2008</v>
      </c>
    </row>
    <row r="409" spans="3:15" s="9" customFormat="1" ht="12.75">
      <c r="C409" s="9">
        <v>4851454</v>
      </c>
      <c r="E409" s="66">
        <v>4862186</v>
      </c>
      <c r="F409" s="12">
        <f t="shared" si="10"/>
        <v>10732</v>
      </c>
      <c r="M409" s="10">
        <v>1969</v>
      </c>
      <c r="N409" s="9" t="s">
        <v>96</v>
      </c>
      <c r="O409" s="10" t="s">
        <v>39</v>
      </c>
    </row>
    <row r="410" spans="3:15" s="9" customFormat="1" ht="12.75">
      <c r="C410" s="9">
        <v>4851456</v>
      </c>
      <c r="E410" s="66">
        <v>4862188</v>
      </c>
      <c r="F410" s="12">
        <f t="shared" si="10"/>
        <v>10732</v>
      </c>
      <c r="M410" s="10"/>
      <c r="O410" s="13" t="s">
        <v>133</v>
      </c>
    </row>
    <row r="411" spans="3:15" s="9" customFormat="1" ht="12.75">
      <c r="C411" s="9">
        <v>4851458</v>
      </c>
      <c r="E411" s="11">
        <v>4862190</v>
      </c>
      <c r="F411" s="12">
        <f t="shared" si="10"/>
        <v>10732</v>
      </c>
      <c r="M411" s="13" t="s">
        <v>134</v>
      </c>
      <c r="N411" s="9" t="s">
        <v>97</v>
      </c>
      <c r="O411" s="10">
        <v>2008</v>
      </c>
    </row>
    <row r="412" spans="3:15" s="9" customFormat="1" ht="12.75">
      <c r="C412" s="9">
        <v>4851462</v>
      </c>
      <c r="E412" s="9">
        <v>4862194</v>
      </c>
      <c r="F412" s="12">
        <f t="shared" si="10"/>
        <v>10732</v>
      </c>
      <c r="M412" s="10"/>
      <c r="N412" s="9" t="s">
        <v>96</v>
      </c>
      <c r="O412" s="10"/>
    </row>
    <row r="413" spans="3:15" s="9" customFormat="1" ht="12.75">
      <c r="C413" s="9">
        <v>4851466</v>
      </c>
      <c r="E413" s="11">
        <v>4862198</v>
      </c>
      <c r="F413" s="12">
        <f t="shared" si="10"/>
        <v>10732</v>
      </c>
      <c r="M413" s="10"/>
      <c r="O413" s="10">
        <v>2006</v>
      </c>
    </row>
    <row r="414" spans="3:15" s="9" customFormat="1" ht="12.75">
      <c r="C414" s="198">
        <v>4851470</v>
      </c>
      <c r="E414" s="11">
        <v>4862202</v>
      </c>
      <c r="F414" s="200">
        <f t="shared" si="10"/>
        <v>10732</v>
      </c>
      <c r="J414" s="9" t="s">
        <v>129</v>
      </c>
      <c r="M414" s="10"/>
      <c r="O414" s="10">
        <v>2009</v>
      </c>
    </row>
    <row r="415" spans="3:15" s="9" customFormat="1" ht="12.75">
      <c r="C415" s="9">
        <v>4851472</v>
      </c>
      <c r="D415" s="174">
        <v>4870355</v>
      </c>
      <c r="E415" s="61"/>
      <c r="F415" s="12"/>
      <c r="K415" s="9">
        <f>1472-654</f>
        <v>818</v>
      </c>
      <c r="L415" s="9">
        <v>27654</v>
      </c>
      <c r="M415" s="10">
        <v>1969</v>
      </c>
      <c r="N415" s="9" t="s">
        <v>96</v>
      </c>
      <c r="O415" s="10" t="s">
        <v>20</v>
      </c>
    </row>
    <row r="416" spans="3:15" s="9" customFormat="1" ht="12.75">
      <c r="C416" s="9">
        <v>4851476</v>
      </c>
      <c r="E416" s="11">
        <v>4862207</v>
      </c>
      <c r="F416" s="12">
        <f aca="true" t="shared" si="11" ref="F416:F422">E416-C416</f>
        <v>10731</v>
      </c>
      <c r="M416" s="10"/>
      <c r="O416" s="10">
        <v>2006</v>
      </c>
    </row>
    <row r="417" spans="3:15" s="9" customFormat="1" ht="12.75">
      <c r="C417" s="198">
        <v>4851478</v>
      </c>
      <c r="E417" s="11">
        <v>4862209</v>
      </c>
      <c r="F417" s="200">
        <f t="shared" si="11"/>
        <v>10731</v>
      </c>
      <c r="H417" s="9" t="s">
        <v>135</v>
      </c>
      <c r="I417" s="9" t="s">
        <v>136</v>
      </c>
      <c r="J417" s="9" t="s">
        <v>129</v>
      </c>
      <c r="K417" s="9">
        <v>818</v>
      </c>
      <c r="L417" s="247">
        <v>27660</v>
      </c>
      <c r="M417" s="13" t="s">
        <v>134</v>
      </c>
      <c r="N417" s="9" t="s">
        <v>97</v>
      </c>
      <c r="O417" s="10">
        <v>2012</v>
      </c>
    </row>
    <row r="418" spans="3:15" s="9" customFormat="1" ht="12.75">
      <c r="C418" s="9">
        <v>4851482</v>
      </c>
      <c r="E418" s="11">
        <v>4862213</v>
      </c>
      <c r="F418" s="12">
        <f t="shared" si="11"/>
        <v>10731</v>
      </c>
      <c r="M418" s="13" t="s">
        <v>134</v>
      </c>
      <c r="N418" s="9" t="s">
        <v>124</v>
      </c>
      <c r="O418" s="10">
        <v>2008</v>
      </c>
    </row>
    <row r="419" spans="3:15" s="9" customFormat="1" ht="12.75">
      <c r="C419" s="9">
        <v>4851484</v>
      </c>
      <c r="E419" s="11">
        <v>4862215</v>
      </c>
      <c r="F419" s="12">
        <f t="shared" si="11"/>
        <v>10731</v>
      </c>
      <c r="M419" s="10">
        <v>1969</v>
      </c>
      <c r="N419" s="9" t="s">
        <v>97</v>
      </c>
      <c r="O419" s="10">
        <v>2008</v>
      </c>
    </row>
    <row r="420" spans="3:15" s="9" customFormat="1" ht="12.75">
      <c r="C420" s="9">
        <v>4851488</v>
      </c>
      <c r="E420" s="11">
        <v>4862219</v>
      </c>
      <c r="F420" s="12">
        <f t="shared" si="11"/>
        <v>10731</v>
      </c>
      <c r="J420" s="9" t="s">
        <v>129</v>
      </c>
      <c r="M420" s="10"/>
      <c r="N420" s="9" t="s">
        <v>97</v>
      </c>
      <c r="O420" s="10">
        <v>2008</v>
      </c>
    </row>
    <row r="421" spans="3:15" s="9" customFormat="1" ht="12.75">
      <c r="C421" s="9">
        <v>4851490</v>
      </c>
      <c r="E421" s="9">
        <v>4862221</v>
      </c>
      <c r="F421" s="12">
        <f t="shared" si="11"/>
        <v>10731</v>
      </c>
      <c r="M421" s="10">
        <v>1969</v>
      </c>
      <c r="N421" s="9" t="s">
        <v>97</v>
      </c>
      <c r="O421" s="10"/>
    </row>
    <row r="422" spans="3:15" s="9" customFormat="1" ht="12.75">
      <c r="C422" s="9">
        <v>4851495</v>
      </c>
      <c r="E422" s="11">
        <v>4862226</v>
      </c>
      <c r="F422" s="12">
        <f t="shared" si="11"/>
        <v>10731</v>
      </c>
      <c r="M422" s="10"/>
      <c r="O422" s="10">
        <v>2007</v>
      </c>
    </row>
    <row r="423" spans="3:15" s="2" customFormat="1" ht="13.5" thickBot="1">
      <c r="C423" s="175">
        <v>4851499</v>
      </c>
      <c r="D423" s="175"/>
      <c r="E423" s="175">
        <v>4862230</v>
      </c>
      <c r="F423" s="175"/>
      <c r="G423" s="175"/>
      <c r="H423" s="175"/>
      <c r="I423" s="175"/>
      <c r="J423" s="175"/>
      <c r="K423" s="175">
        <f>1499-681</f>
        <v>818</v>
      </c>
      <c r="L423" s="175">
        <v>27681</v>
      </c>
      <c r="M423" s="6"/>
      <c r="O423" s="6" t="s">
        <v>20</v>
      </c>
    </row>
    <row r="424" spans="3:15" s="9" customFormat="1" ht="12.75">
      <c r="C424" s="166">
        <v>4851500</v>
      </c>
      <c r="D424" s="166"/>
      <c r="E424" s="166">
        <v>4862231</v>
      </c>
      <c r="F424" s="166"/>
      <c r="G424" s="166"/>
      <c r="H424" s="166"/>
      <c r="I424" s="166">
        <f>1500-747</f>
        <v>753</v>
      </c>
      <c r="J424" s="166">
        <f>500-272</f>
        <v>228</v>
      </c>
      <c r="K424" s="166">
        <f>500-228</f>
        <v>272</v>
      </c>
      <c r="L424" s="166">
        <v>29228</v>
      </c>
      <c r="M424" s="10"/>
      <c r="O424" s="10" t="s">
        <v>20</v>
      </c>
    </row>
    <row r="425" spans="3:15" s="9" customFormat="1" ht="12.75">
      <c r="C425" s="9">
        <v>4851504</v>
      </c>
      <c r="E425" s="11">
        <v>4862235</v>
      </c>
      <c r="F425" s="12">
        <f aca="true" t="shared" si="12" ref="F425:F441">E425-C425</f>
        <v>10731</v>
      </c>
      <c r="M425" s="10"/>
      <c r="O425" s="10" t="s">
        <v>75</v>
      </c>
    </row>
    <row r="426" spans="3:15" s="9" customFormat="1" ht="12.75">
      <c r="C426" s="9">
        <v>4851510</v>
      </c>
      <c r="E426" s="11">
        <v>4862241</v>
      </c>
      <c r="F426" s="12">
        <f t="shared" si="12"/>
        <v>10731</v>
      </c>
      <c r="M426" s="10">
        <v>1969</v>
      </c>
      <c r="N426" s="9" t="s">
        <v>97</v>
      </c>
      <c r="O426" s="10">
        <v>2007</v>
      </c>
    </row>
    <row r="427" spans="3:15" s="9" customFormat="1" ht="12.75">
      <c r="C427" s="198">
        <v>4851515</v>
      </c>
      <c r="E427" s="11">
        <v>4862246</v>
      </c>
      <c r="F427" s="12">
        <f t="shared" si="12"/>
        <v>10731</v>
      </c>
      <c r="I427" s="9" t="s">
        <v>33</v>
      </c>
      <c r="J427" s="141" t="s">
        <v>137</v>
      </c>
      <c r="K427" s="9">
        <v>272</v>
      </c>
      <c r="L427" s="141">
        <v>29243</v>
      </c>
      <c r="M427" s="13" t="s">
        <v>138</v>
      </c>
      <c r="N427" s="9" t="s">
        <v>97</v>
      </c>
      <c r="O427" s="10">
        <v>2012</v>
      </c>
    </row>
    <row r="428" spans="3:15" s="9" customFormat="1" ht="12.75">
      <c r="C428" s="9">
        <v>4851519</v>
      </c>
      <c r="E428" s="11">
        <v>4862250</v>
      </c>
      <c r="F428" s="12">
        <f t="shared" si="12"/>
        <v>10731</v>
      </c>
      <c r="M428" s="10">
        <v>1969</v>
      </c>
      <c r="N428" s="9" t="s">
        <v>97</v>
      </c>
      <c r="O428" s="10">
        <v>2007</v>
      </c>
    </row>
    <row r="429" spans="3:15" s="9" customFormat="1" ht="12.75">
      <c r="C429" s="198">
        <v>4851530</v>
      </c>
      <c r="E429" s="11">
        <v>4862261</v>
      </c>
      <c r="F429" s="12">
        <f t="shared" si="12"/>
        <v>10731</v>
      </c>
      <c r="L429" s="9" t="s">
        <v>33</v>
      </c>
      <c r="M429" s="10"/>
      <c r="O429" s="10">
        <v>2009</v>
      </c>
    </row>
    <row r="430" spans="3:15" s="9" customFormat="1" ht="12.75">
      <c r="C430" s="9">
        <v>4851536</v>
      </c>
      <c r="E430" s="11">
        <v>4862267</v>
      </c>
      <c r="F430" s="12">
        <f t="shared" si="12"/>
        <v>10731</v>
      </c>
      <c r="M430" s="13" t="s">
        <v>138</v>
      </c>
      <c r="O430" s="10">
        <v>2008</v>
      </c>
    </row>
    <row r="431" spans="3:15" s="9" customFormat="1" ht="12.75">
      <c r="C431" s="9">
        <v>4851539</v>
      </c>
      <c r="E431" s="11">
        <v>4862270</v>
      </c>
      <c r="F431" s="12">
        <f t="shared" si="12"/>
        <v>10731</v>
      </c>
      <c r="M431" s="13" t="s">
        <v>138</v>
      </c>
      <c r="N431" s="9" t="s">
        <v>97</v>
      </c>
      <c r="O431" s="10">
        <v>2008</v>
      </c>
    </row>
    <row r="432" spans="3:15" s="9" customFormat="1" ht="12.75">
      <c r="C432" s="9">
        <v>4851540</v>
      </c>
      <c r="E432" s="11">
        <v>4862271</v>
      </c>
      <c r="F432" s="12">
        <f t="shared" si="12"/>
        <v>10731</v>
      </c>
      <c r="M432" s="13" t="s">
        <v>138</v>
      </c>
      <c r="N432" s="9" t="s">
        <v>97</v>
      </c>
      <c r="O432" s="10">
        <v>2008</v>
      </c>
    </row>
    <row r="433" spans="3:15" s="9" customFormat="1" ht="12.75">
      <c r="C433" s="9">
        <v>4851542</v>
      </c>
      <c r="E433" s="11">
        <v>4862273</v>
      </c>
      <c r="F433" s="12">
        <f t="shared" si="12"/>
        <v>10731</v>
      </c>
      <c r="M433" s="13">
        <v>1969</v>
      </c>
      <c r="N433" s="9" t="s">
        <v>97</v>
      </c>
      <c r="O433" s="10">
        <v>2008</v>
      </c>
    </row>
    <row r="434" spans="3:15" s="9" customFormat="1" ht="12.75">
      <c r="C434" s="9">
        <v>4851563</v>
      </c>
      <c r="E434" s="11">
        <v>4862294</v>
      </c>
      <c r="F434" s="12">
        <f t="shared" si="12"/>
        <v>10731</v>
      </c>
      <c r="M434" s="10">
        <v>1969</v>
      </c>
      <c r="N434" s="9" t="s">
        <v>96</v>
      </c>
      <c r="O434" s="10">
        <v>2007</v>
      </c>
    </row>
    <row r="435" spans="2:15" s="9" customFormat="1" ht="12.75">
      <c r="B435" s="9" t="s">
        <v>77</v>
      </c>
      <c r="C435" s="9">
        <v>4851565</v>
      </c>
      <c r="E435" s="11">
        <v>4862296</v>
      </c>
      <c r="F435" s="12">
        <f t="shared" si="12"/>
        <v>10731</v>
      </c>
      <c r="M435" s="13" t="s">
        <v>139</v>
      </c>
      <c r="N435" s="9" t="s">
        <v>97</v>
      </c>
      <c r="O435" s="10">
        <v>2009</v>
      </c>
    </row>
    <row r="436" spans="3:15" s="9" customFormat="1" ht="12.75">
      <c r="C436" s="9">
        <v>4851566</v>
      </c>
      <c r="E436" s="11">
        <v>4862297</v>
      </c>
      <c r="F436" s="12">
        <f t="shared" si="12"/>
        <v>10731</v>
      </c>
      <c r="M436" s="13" t="s">
        <v>139</v>
      </c>
      <c r="N436" s="9" t="s">
        <v>97</v>
      </c>
      <c r="O436" s="10">
        <v>2008</v>
      </c>
    </row>
    <row r="437" spans="3:15" s="9" customFormat="1" ht="12.75">
      <c r="C437" s="9">
        <v>4851568</v>
      </c>
      <c r="E437" s="11">
        <v>4862299</v>
      </c>
      <c r="F437" s="12">
        <f t="shared" si="12"/>
        <v>10731</v>
      </c>
      <c r="M437" s="10">
        <v>1969</v>
      </c>
      <c r="N437" s="9" t="s">
        <v>97</v>
      </c>
      <c r="O437" s="10">
        <v>2007</v>
      </c>
    </row>
    <row r="438" spans="3:15" s="9" customFormat="1" ht="12.75">
      <c r="C438" s="9">
        <v>4851570</v>
      </c>
      <c r="E438" s="11">
        <v>4862301</v>
      </c>
      <c r="F438" s="12">
        <f t="shared" si="12"/>
        <v>10731</v>
      </c>
      <c r="M438" s="10"/>
      <c r="O438" s="10">
        <v>2008</v>
      </c>
    </row>
    <row r="439" spans="3:15" s="9" customFormat="1" ht="12.75">
      <c r="C439" s="9">
        <v>4851572</v>
      </c>
      <c r="E439" s="11">
        <v>4862303</v>
      </c>
      <c r="F439" s="12">
        <f t="shared" si="12"/>
        <v>10731</v>
      </c>
      <c r="M439" s="13" t="s">
        <v>139</v>
      </c>
      <c r="N439" s="9" t="s">
        <v>97</v>
      </c>
      <c r="O439" s="10">
        <v>2008</v>
      </c>
    </row>
    <row r="440" spans="3:15" s="9" customFormat="1" ht="12.75">
      <c r="C440" s="9">
        <v>4851575</v>
      </c>
      <c r="E440" s="11">
        <v>4862306</v>
      </c>
      <c r="F440" s="12">
        <f t="shared" si="12"/>
        <v>10731</v>
      </c>
      <c r="H440" s="9" t="s">
        <v>33</v>
      </c>
      <c r="J440" s="141">
        <v>29303</v>
      </c>
      <c r="K440" s="9">
        <v>272</v>
      </c>
      <c r="L440" s="13" t="s">
        <v>140</v>
      </c>
      <c r="M440" s="13" t="s">
        <v>139</v>
      </c>
      <c r="N440" s="9" t="s">
        <v>97</v>
      </c>
      <c r="O440" s="10">
        <v>2008</v>
      </c>
    </row>
    <row r="441" spans="3:16" s="9" customFormat="1" ht="12.75">
      <c r="C441" s="198">
        <v>4851585</v>
      </c>
      <c r="E441" s="11">
        <v>4862316</v>
      </c>
      <c r="F441" s="200">
        <f t="shared" si="12"/>
        <v>10731</v>
      </c>
      <c r="J441" s="141" t="s">
        <v>141</v>
      </c>
      <c r="L441" s="13"/>
      <c r="M441" s="13">
        <v>1970</v>
      </c>
      <c r="N441" s="198" t="s">
        <v>96</v>
      </c>
      <c r="O441" s="10">
        <v>2016</v>
      </c>
      <c r="P441" s="9" t="s">
        <v>20</v>
      </c>
    </row>
    <row r="442" spans="5:15" s="9" customFormat="1" ht="12.75">
      <c r="E442" s="11">
        <v>4862321</v>
      </c>
      <c r="F442" s="12"/>
      <c r="M442" s="10">
        <v>1970</v>
      </c>
      <c r="O442" s="10">
        <v>2006</v>
      </c>
    </row>
    <row r="443" spans="3:15" s="9" customFormat="1" ht="12.75">
      <c r="C443" s="9">
        <v>4851591</v>
      </c>
      <c r="E443" s="11">
        <v>4862322</v>
      </c>
      <c r="F443" s="12">
        <f aca="true" t="shared" si="13" ref="F443:F474">E443-C443</f>
        <v>10731</v>
      </c>
      <c r="M443" s="13" t="s">
        <v>142</v>
      </c>
      <c r="N443" s="9" t="s">
        <v>97</v>
      </c>
      <c r="O443" s="10">
        <v>2008</v>
      </c>
    </row>
    <row r="444" spans="2:15" s="9" customFormat="1" ht="12.75">
      <c r="B444" s="9" t="s">
        <v>77</v>
      </c>
      <c r="C444" s="9">
        <v>4851596</v>
      </c>
      <c r="E444" s="11">
        <v>4862327</v>
      </c>
      <c r="F444" s="12">
        <f t="shared" si="13"/>
        <v>10731</v>
      </c>
      <c r="J444" s="245"/>
      <c r="K444" s="245">
        <v>272</v>
      </c>
      <c r="L444" s="245"/>
      <c r="M444" s="246">
        <v>1970</v>
      </c>
      <c r="N444" s="245" t="s">
        <v>97</v>
      </c>
      <c r="O444" s="10">
        <v>2005</v>
      </c>
    </row>
    <row r="445" spans="3:15" s="9" customFormat="1" ht="12.75">
      <c r="C445" s="9">
        <v>4851600</v>
      </c>
      <c r="E445" s="11">
        <v>4862331</v>
      </c>
      <c r="F445" s="12">
        <f t="shared" si="13"/>
        <v>10731</v>
      </c>
      <c r="H445" s="9" t="s">
        <v>33</v>
      </c>
      <c r="J445" s="142">
        <v>29853</v>
      </c>
      <c r="K445" s="9">
        <v>747</v>
      </c>
      <c r="L445" s="143"/>
      <c r="M445" s="13" t="s">
        <v>142</v>
      </c>
      <c r="N445" s="9" t="s">
        <v>97</v>
      </c>
      <c r="O445" s="10">
        <v>2008</v>
      </c>
    </row>
    <row r="446" spans="3:15" s="9" customFormat="1" ht="12.75">
      <c r="C446" s="9">
        <v>4851603</v>
      </c>
      <c r="E446" s="11">
        <v>4862334</v>
      </c>
      <c r="F446" s="12">
        <f t="shared" si="13"/>
        <v>10731</v>
      </c>
      <c r="M446" s="13" t="s">
        <v>142</v>
      </c>
      <c r="N446" s="9" t="s">
        <v>97</v>
      </c>
      <c r="O446" s="10">
        <v>2008</v>
      </c>
    </row>
    <row r="447" spans="3:15" s="9" customFormat="1" ht="12.75">
      <c r="C447" s="9">
        <v>4851604</v>
      </c>
      <c r="E447" s="11">
        <v>4862335</v>
      </c>
      <c r="F447" s="12">
        <f t="shared" si="13"/>
        <v>10731</v>
      </c>
      <c r="M447" s="10"/>
      <c r="O447" s="10">
        <v>2007</v>
      </c>
    </row>
    <row r="448" spans="3:15" s="9" customFormat="1" ht="12.75">
      <c r="C448" s="9">
        <v>4851605</v>
      </c>
      <c r="E448" s="11">
        <v>4862336</v>
      </c>
      <c r="F448" s="12">
        <f t="shared" si="13"/>
        <v>10731</v>
      </c>
      <c r="M448" s="10"/>
      <c r="O448" s="10">
        <v>2008</v>
      </c>
    </row>
    <row r="449" spans="3:15" s="9" customFormat="1" ht="12.75">
      <c r="C449" s="198">
        <v>4851607</v>
      </c>
      <c r="E449" s="11">
        <v>4862338</v>
      </c>
      <c r="F449" s="200">
        <f t="shared" si="13"/>
        <v>10731</v>
      </c>
      <c r="M449" s="10">
        <v>1970</v>
      </c>
      <c r="N449" s="9" t="s">
        <v>97</v>
      </c>
      <c r="O449" s="10">
        <v>2010</v>
      </c>
    </row>
    <row r="450" spans="3:15" s="9" customFormat="1" ht="12.75">
      <c r="C450" s="9">
        <v>4851611</v>
      </c>
      <c r="E450" s="11">
        <v>4862342</v>
      </c>
      <c r="F450" s="12">
        <f t="shared" si="13"/>
        <v>10731</v>
      </c>
      <c r="H450" s="9" t="s">
        <v>33</v>
      </c>
      <c r="J450" s="142">
        <v>29864</v>
      </c>
      <c r="K450" s="9">
        <v>747</v>
      </c>
      <c r="L450" s="13" t="s">
        <v>143</v>
      </c>
      <c r="M450" s="10">
        <v>1970</v>
      </c>
      <c r="N450" s="9" t="s">
        <v>97</v>
      </c>
      <c r="O450" s="10">
        <v>2009</v>
      </c>
    </row>
    <row r="451" spans="3:15" s="9" customFormat="1" ht="12.75">
      <c r="C451" s="9">
        <v>4851613</v>
      </c>
      <c r="E451" s="11">
        <v>4862344</v>
      </c>
      <c r="F451" s="12">
        <f t="shared" si="13"/>
        <v>10731</v>
      </c>
      <c r="J451" s="142">
        <v>29866</v>
      </c>
      <c r="K451" s="25">
        <v>747</v>
      </c>
      <c r="L451" s="13">
        <v>29805</v>
      </c>
      <c r="M451" s="10">
        <v>1970</v>
      </c>
      <c r="N451" s="9" t="s">
        <v>97</v>
      </c>
      <c r="O451" s="10">
        <v>2009</v>
      </c>
    </row>
    <row r="452" spans="3:15" s="9" customFormat="1" ht="12.75">
      <c r="C452" s="9">
        <v>4851619</v>
      </c>
      <c r="E452" s="11">
        <v>4862350</v>
      </c>
      <c r="F452" s="12">
        <f t="shared" si="13"/>
        <v>10731</v>
      </c>
      <c r="J452" s="142"/>
      <c r="M452" s="10">
        <v>1970</v>
      </c>
      <c r="N452" s="9" t="s">
        <v>144</v>
      </c>
      <c r="O452" s="10">
        <v>2006</v>
      </c>
    </row>
    <row r="453" spans="3:15" s="9" customFormat="1" ht="12.75">
      <c r="C453" s="198">
        <v>4851621</v>
      </c>
      <c r="E453" s="11">
        <v>4862352</v>
      </c>
      <c r="F453" s="200">
        <f t="shared" si="13"/>
        <v>10731</v>
      </c>
      <c r="H453" s="9" t="s">
        <v>33</v>
      </c>
      <c r="J453" s="142">
        <v>29874</v>
      </c>
      <c r="K453" s="9">
        <v>747</v>
      </c>
      <c r="L453" s="10" t="s">
        <v>145</v>
      </c>
      <c r="M453" s="10"/>
      <c r="N453" s="198" t="s">
        <v>97</v>
      </c>
      <c r="O453" s="10">
        <v>2010</v>
      </c>
    </row>
    <row r="454" spans="3:15" s="9" customFormat="1" ht="12.75">
      <c r="C454" s="9">
        <v>4851625</v>
      </c>
      <c r="E454" s="11">
        <v>4862356</v>
      </c>
      <c r="F454" s="12">
        <f t="shared" si="13"/>
        <v>10731</v>
      </c>
      <c r="M454" s="13" t="s">
        <v>146</v>
      </c>
      <c r="N454" s="9" t="s">
        <v>97</v>
      </c>
      <c r="O454" s="10">
        <v>2008</v>
      </c>
    </row>
    <row r="455" spans="3:15" s="9" customFormat="1" ht="12.75">
      <c r="C455" s="9">
        <v>4851626</v>
      </c>
      <c r="E455" s="11">
        <v>4862357</v>
      </c>
      <c r="F455" s="12">
        <f t="shared" si="13"/>
        <v>10731</v>
      </c>
      <c r="H455" s="9" t="s">
        <v>33</v>
      </c>
      <c r="J455" s="243">
        <v>29879</v>
      </c>
      <c r="K455" s="9">
        <v>747</v>
      </c>
      <c r="L455" s="13" t="s">
        <v>147</v>
      </c>
      <c r="M455" s="13" t="s">
        <v>146</v>
      </c>
      <c r="N455" s="9" t="s">
        <v>96</v>
      </c>
      <c r="O455" s="10">
        <v>2008</v>
      </c>
    </row>
    <row r="456" spans="3:15" s="9" customFormat="1" ht="12.75">
      <c r="C456" s="9">
        <v>4851632</v>
      </c>
      <c r="E456" s="11">
        <v>4862363</v>
      </c>
      <c r="F456" s="12">
        <f t="shared" si="13"/>
        <v>10731</v>
      </c>
      <c r="H456" s="9" t="s">
        <v>33</v>
      </c>
      <c r="L456" s="9" t="s">
        <v>33</v>
      </c>
      <c r="M456" s="13" t="s">
        <v>146</v>
      </c>
      <c r="N456" s="9" t="s">
        <v>124</v>
      </c>
      <c r="O456" s="10">
        <v>2008</v>
      </c>
    </row>
    <row r="457" spans="3:15" s="9" customFormat="1" ht="12.75">
      <c r="C457" s="9">
        <v>4851635</v>
      </c>
      <c r="E457" s="11">
        <v>4862366</v>
      </c>
      <c r="F457" s="12">
        <f t="shared" si="13"/>
        <v>10731</v>
      </c>
      <c r="M457" s="10">
        <v>1970</v>
      </c>
      <c r="N457" s="9" t="s">
        <v>97</v>
      </c>
      <c r="O457" s="10">
        <v>2003</v>
      </c>
    </row>
    <row r="458" spans="3:15" s="9" customFormat="1" ht="12.75">
      <c r="C458" s="9">
        <v>4851636</v>
      </c>
      <c r="E458" s="11">
        <v>4862367</v>
      </c>
      <c r="F458" s="12">
        <f t="shared" si="13"/>
        <v>10731</v>
      </c>
      <c r="H458" s="198" t="s">
        <v>33</v>
      </c>
      <c r="L458" s="9" t="s">
        <v>33</v>
      </c>
      <c r="M458" s="13" t="s">
        <v>146</v>
      </c>
      <c r="N458" s="9" t="s">
        <v>97</v>
      </c>
      <c r="O458" s="10">
        <v>2008</v>
      </c>
    </row>
    <row r="459" spans="3:15" s="9" customFormat="1" ht="12.75">
      <c r="C459" s="9">
        <v>4851638</v>
      </c>
      <c r="E459" s="11">
        <v>4862369</v>
      </c>
      <c r="F459" s="12">
        <f t="shared" si="13"/>
        <v>10731</v>
      </c>
      <c r="M459" s="13">
        <v>1970</v>
      </c>
      <c r="N459" s="9" t="s">
        <v>96</v>
      </c>
      <c r="O459" s="10" t="s">
        <v>38</v>
      </c>
    </row>
    <row r="460" spans="3:15" s="9" customFormat="1" ht="12.75">
      <c r="C460" s="198">
        <v>4851639</v>
      </c>
      <c r="E460" s="11">
        <v>4862370</v>
      </c>
      <c r="F460" s="200">
        <f t="shared" si="13"/>
        <v>10731</v>
      </c>
      <c r="H460" s="198" t="s">
        <v>33</v>
      </c>
      <c r="I460" s="9">
        <f>892+747</f>
        <v>1639</v>
      </c>
      <c r="J460" s="242">
        <v>29892</v>
      </c>
      <c r="K460" s="9">
        <v>747</v>
      </c>
      <c r="L460" s="9">
        <v>29972</v>
      </c>
      <c r="M460" s="114" t="s">
        <v>146</v>
      </c>
      <c r="N460" s="198" t="s">
        <v>96</v>
      </c>
      <c r="O460" s="10" t="s">
        <v>148</v>
      </c>
    </row>
    <row r="461" spans="3:15" s="9" customFormat="1" ht="12.75">
      <c r="C461" s="198">
        <v>4851646</v>
      </c>
      <c r="E461" s="11">
        <v>4862377</v>
      </c>
      <c r="F461" s="200">
        <f t="shared" si="13"/>
        <v>10731</v>
      </c>
      <c r="J461" s="238">
        <v>28899</v>
      </c>
      <c r="K461" s="9">
        <v>747</v>
      </c>
      <c r="L461" s="13" t="s">
        <v>149</v>
      </c>
      <c r="M461" s="114" t="s">
        <v>146</v>
      </c>
      <c r="N461" s="198" t="s">
        <v>96</v>
      </c>
      <c r="O461" s="10">
        <v>2011</v>
      </c>
    </row>
    <row r="462" spans="3:15" s="9" customFormat="1" ht="12.75">
      <c r="C462" s="9">
        <v>4851648</v>
      </c>
      <c r="E462" s="11">
        <v>4862379</v>
      </c>
      <c r="F462" s="12">
        <f t="shared" si="13"/>
        <v>10731</v>
      </c>
      <c r="J462" s="142">
        <v>29901</v>
      </c>
      <c r="K462" s="9">
        <v>747</v>
      </c>
      <c r="L462" s="10" t="s">
        <v>150</v>
      </c>
      <c r="M462" s="13">
        <v>1970</v>
      </c>
      <c r="N462" s="9" t="s">
        <v>96</v>
      </c>
      <c r="O462" s="10">
        <v>2010</v>
      </c>
    </row>
    <row r="463" spans="3:15" s="9" customFormat="1" ht="12.75">
      <c r="C463" s="9">
        <v>4851656</v>
      </c>
      <c r="E463" s="11">
        <v>4862387</v>
      </c>
      <c r="F463" s="12">
        <f t="shared" si="13"/>
        <v>10731</v>
      </c>
      <c r="M463" s="10"/>
      <c r="O463" s="10">
        <v>2006</v>
      </c>
    </row>
    <row r="464" spans="3:15" s="9" customFormat="1" ht="12.75">
      <c r="C464" s="9">
        <v>4851658</v>
      </c>
      <c r="E464" s="11">
        <v>4862389</v>
      </c>
      <c r="F464" s="12">
        <f t="shared" si="13"/>
        <v>10731</v>
      </c>
      <c r="M464" s="10">
        <v>1970</v>
      </c>
      <c r="N464" s="9" t="s">
        <v>97</v>
      </c>
      <c r="O464" s="10">
        <v>2009</v>
      </c>
    </row>
    <row r="465" spans="3:15" s="9" customFormat="1" ht="12.75">
      <c r="C465" s="9">
        <v>4851667</v>
      </c>
      <c r="E465" s="11">
        <v>4862398</v>
      </c>
      <c r="F465" s="12">
        <f t="shared" si="13"/>
        <v>10731</v>
      </c>
      <c r="M465" s="10">
        <v>1970</v>
      </c>
      <c r="N465" s="9" t="s">
        <v>151</v>
      </c>
      <c r="O465" s="10">
        <v>2007</v>
      </c>
    </row>
    <row r="466" spans="3:15" s="9" customFormat="1" ht="12.75">
      <c r="C466" s="9">
        <v>4851663</v>
      </c>
      <c r="E466" s="11">
        <v>4862394</v>
      </c>
      <c r="F466" s="12">
        <f t="shared" si="13"/>
        <v>10731</v>
      </c>
      <c r="M466" s="10"/>
      <c r="O466" s="10">
        <v>2003</v>
      </c>
    </row>
    <row r="467" spans="3:15" s="9" customFormat="1" ht="12.75">
      <c r="C467" s="198">
        <v>4851666</v>
      </c>
      <c r="E467" s="11">
        <v>4862397</v>
      </c>
      <c r="F467" s="200">
        <f t="shared" si="13"/>
        <v>10731</v>
      </c>
      <c r="L467" s="9" t="s">
        <v>125</v>
      </c>
      <c r="M467" s="13" t="s">
        <v>152</v>
      </c>
      <c r="N467" s="198" t="s">
        <v>97</v>
      </c>
      <c r="O467" s="10">
        <v>2011</v>
      </c>
    </row>
    <row r="468" spans="3:15" s="9" customFormat="1" ht="12.75">
      <c r="C468" s="9">
        <v>4851670</v>
      </c>
      <c r="E468" s="11">
        <v>4862401</v>
      </c>
      <c r="F468" s="12">
        <f t="shared" si="13"/>
        <v>10731</v>
      </c>
      <c r="M468" s="10">
        <v>1970</v>
      </c>
      <c r="N468" s="9" t="s">
        <v>97</v>
      </c>
      <c r="O468" s="10">
        <v>2004</v>
      </c>
    </row>
    <row r="469" spans="3:15" s="9" customFormat="1" ht="12.75">
      <c r="C469" s="9">
        <v>4851672</v>
      </c>
      <c r="E469" s="11">
        <v>4862403</v>
      </c>
      <c r="F469" s="12">
        <f t="shared" si="13"/>
        <v>10731</v>
      </c>
      <c r="M469" s="13" t="s">
        <v>152</v>
      </c>
      <c r="N469" s="9" t="s">
        <v>97</v>
      </c>
      <c r="O469" s="10">
        <v>2008</v>
      </c>
    </row>
    <row r="470" spans="3:15" s="9" customFormat="1" ht="12.75">
      <c r="C470" s="9">
        <v>4851676</v>
      </c>
      <c r="E470" s="11">
        <v>4862407</v>
      </c>
      <c r="F470" s="12">
        <f t="shared" si="13"/>
        <v>10731</v>
      </c>
      <c r="M470" s="10">
        <v>1970</v>
      </c>
      <c r="N470" s="9" t="s">
        <v>97</v>
      </c>
      <c r="O470" s="10">
        <v>2005</v>
      </c>
    </row>
    <row r="471" spans="3:15" s="9" customFormat="1" ht="12.75">
      <c r="C471" s="9">
        <v>4851677</v>
      </c>
      <c r="E471" s="11">
        <v>4862408</v>
      </c>
      <c r="F471" s="12">
        <f t="shared" si="13"/>
        <v>10731</v>
      </c>
      <c r="M471" s="114" t="s">
        <v>152</v>
      </c>
      <c r="N471" s="9" t="s">
        <v>97</v>
      </c>
      <c r="O471" s="10">
        <v>2008</v>
      </c>
    </row>
    <row r="472" spans="3:15" s="9" customFormat="1" ht="12.75">
      <c r="C472" s="9">
        <v>4851678</v>
      </c>
      <c r="E472" s="11">
        <v>4862409</v>
      </c>
      <c r="F472" s="12">
        <f t="shared" si="13"/>
        <v>10731</v>
      </c>
      <c r="M472" s="114"/>
      <c r="O472" s="10"/>
    </row>
    <row r="473" spans="3:15" s="9" customFormat="1" ht="12.75">
      <c r="C473" s="9">
        <v>4851682</v>
      </c>
      <c r="E473" s="11">
        <v>4862413</v>
      </c>
      <c r="F473" s="12">
        <f t="shared" si="13"/>
        <v>10731</v>
      </c>
      <c r="M473" s="114" t="s">
        <v>152</v>
      </c>
      <c r="N473" s="9" t="s">
        <v>97</v>
      </c>
      <c r="O473" s="10">
        <v>2008</v>
      </c>
    </row>
    <row r="474" spans="3:15" s="9" customFormat="1" ht="12.75">
      <c r="C474" s="9">
        <v>4851683</v>
      </c>
      <c r="E474" s="11">
        <v>4862414</v>
      </c>
      <c r="F474" s="12">
        <f t="shared" si="13"/>
        <v>10731</v>
      </c>
      <c r="M474" s="114" t="s">
        <v>152</v>
      </c>
      <c r="N474" s="9" t="s">
        <v>97</v>
      </c>
      <c r="O474" s="10">
        <v>2008</v>
      </c>
    </row>
    <row r="475" spans="3:15" s="9" customFormat="1" ht="12.75">
      <c r="C475" s="9">
        <v>4851684</v>
      </c>
      <c r="E475" s="11">
        <v>4862415</v>
      </c>
      <c r="F475" s="12">
        <f aca="true" t="shared" si="14" ref="F475:F506">E475-C475</f>
        <v>10731</v>
      </c>
      <c r="M475" s="114"/>
      <c r="O475" s="10" t="s">
        <v>75</v>
      </c>
    </row>
    <row r="476" spans="3:15" s="9" customFormat="1" ht="12.75">
      <c r="C476" s="9">
        <v>4851688</v>
      </c>
      <c r="E476" s="11">
        <v>4862419</v>
      </c>
      <c r="F476" s="12">
        <f t="shared" si="14"/>
        <v>10731</v>
      </c>
      <c r="M476" s="114" t="s">
        <v>152</v>
      </c>
      <c r="N476" s="9" t="s">
        <v>97</v>
      </c>
      <c r="O476" s="10">
        <v>2008</v>
      </c>
    </row>
    <row r="477" spans="3:15" s="9" customFormat="1" ht="12.75">
      <c r="C477" s="198">
        <v>4851689</v>
      </c>
      <c r="E477" s="11">
        <v>4862420</v>
      </c>
      <c r="F477" s="200">
        <f t="shared" si="14"/>
        <v>10731</v>
      </c>
      <c r="H477" s="9" t="s">
        <v>153</v>
      </c>
      <c r="J477" s="236">
        <v>29942</v>
      </c>
      <c r="K477" s="9">
        <v>747</v>
      </c>
      <c r="L477" s="10" t="s">
        <v>154</v>
      </c>
      <c r="M477" s="114" t="s">
        <v>152</v>
      </c>
      <c r="N477" s="198" t="s">
        <v>97</v>
      </c>
      <c r="O477" s="10">
        <v>2011</v>
      </c>
    </row>
    <row r="478" spans="3:15" s="9" customFormat="1" ht="12.75">
      <c r="C478" s="9">
        <v>4851694</v>
      </c>
      <c r="E478" s="11">
        <v>4862425</v>
      </c>
      <c r="F478" s="12">
        <f t="shared" si="14"/>
        <v>10731</v>
      </c>
      <c r="M478" s="114"/>
      <c r="O478" s="10" t="s">
        <v>75</v>
      </c>
    </row>
    <row r="479" spans="3:15" s="9" customFormat="1" ht="12.75">
      <c r="C479" s="9">
        <v>4851696</v>
      </c>
      <c r="E479" s="11">
        <v>4862427</v>
      </c>
      <c r="F479" s="12">
        <f t="shared" si="14"/>
        <v>10731</v>
      </c>
      <c r="M479" s="13" t="s">
        <v>152</v>
      </c>
      <c r="N479" s="9" t="s">
        <v>97</v>
      </c>
      <c r="O479" s="10">
        <v>2008</v>
      </c>
    </row>
    <row r="480" spans="3:15" s="9" customFormat="1" ht="12.75">
      <c r="C480" s="9">
        <v>4851698</v>
      </c>
      <c r="E480" s="11">
        <v>4862429</v>
      </c>
      <c r="F480" s="12">
        <f t="shared" si="14"/>
        <v>10731</v>
      </c>
      <c r="M480" s="10">
        <v>1970</v>
      </c>
      <c r="N480" s="9" t="s">
        <v>97</v>
      </c>
      <c r="O480" s="10">
        <v>2008</v>
      </c>
    </row>
    <row r="481" spans="3:15" s="9" customFormat="1" ht="12.75">
      <c r="C481" s="198">
        <v>4851700</v>
      </c>
      <c r="E481" s="11">
        <v>4862431</v>
      </c>
      <c r="F481" s="200">
        <f t="shared" si="14"/>
        <v>10731</v>
      </c>
      <c r="H481" s="9" t="s">
        <v>155</v>
      </c>
      <c r="J481" s="237">
        <v>29953</v>
      </c>
      <c r="K481" s="9">
        <f>1700-953</f>
        <v>747</v>
      </c>
      <c r="L481" s="241">
        <v>29953</v>
      </c>
      <c r="M481" s="13" t="s">
        <v>152</v>
      </c>
      <c r="N481" s="198" t="s">
        <v>97</v>
      </c>
      <c r="O481" s="10">
        <v>2012</v>
      </c>
    </row>
    <row r="482" spans="2:15" s="9" customFormat="1" ht="12.75">
      <c r="B482" s="10"/>
      <c r="C482" s="9">
        <v>4851711</v>
      </c>
      <c r="D482" s="10"/>
      <c r="E482" s="72">
        <v>4862442</v>
      </c>
      <c r="F482" s="12">
        <f t="shared" si="14"/>
        <v>10731</v>
      </c>
      <c r="J482" s="237">
        <v>29964</v>
      </c>
      <c r="M482" s="10"/>
      <c r="O482" s="10">
        <v>2008</v>
      </c>
    </row>
    <row r="483" spans="2:15" s="9" customFormat="1" ht="12.75">
      <c r="B483" s="10"/>
      <c r="C483" s="9">
        <v>4851712</v>
      </c>
      <c r="D483" s="10"/>
      <c r="E483" s="72">
        <v>4862443</v>
      </c>
      <c r="F483" s="12">
        <f t="shared" si="14"/>
        <v>10731</v>
      </c>
      <c r="M483" s="13" t="s">
        <v>156</v>
      </c>
      <c r="N483" s="9" t="s">
        <v>97</v>
      </c>
      <c r="O483" s="10">
        <v>2009</v>
      </c>
    </row>
    <row r="484" spans="2:15" s="9" customFormat="1" ht="12.75">
      <c r="B484" s="25" t="s">
        <v>77</v>
      </c>
      <c r="C484" s="9">
        <v>4851720</v>
      </c>
      <c r="E484" s="67">
        <v>4862451</v>
      </c>
      <c r="F484" s="12">
        <f t="shared" si="14"/>
        <v>10731</v>
      </c>
      <c r="M484" s="13" t="s">
        <v>156</v>
      </c>
      <c r="N484" s="9" t="s">
        <v>97</v>
      </c>
      <c r="O484" s="10">
        <v>2008</v>
      </c>
    </row>
    <row r="485" spans="2:15" s="9" customFormat="1" ht="12.75">
      <c r="B485" s="25"/>
      <c r="C485" s="198">
        <v>4851726</v>
      </c>
      <c r="E485" s="67">
        <v>4862457</v>
      </c>
      <c r="F485" s="200">
        <f t="shared" si="14"/>
        <v>10731</v>
      </c>
      <c r="M485" s="13" t="s">
        <v>156</v>
      </c>
      <c r="N485" s="198" t="s">
        <v>97</v>
      </c>
      <c r="O485" s="10">
        <v>2010</v>
      </c>
    </row>
    <row r="486" spans="2:15" s="9" customFormat="1" ht="12.75">
      <c r="B486" s="10"/>
      <c r="C486" s="9">
        <v>4851732</v>
      </c>
      <c r="E486" s="67">
        <v>4862463</v>
      </c>
      <c r="F486" s="12">
        <f t="shared" si="14"/>
        <v>10731</v>
      </c>
      <c r="M486" s="13"/>
      <c r="O486" s="10">
        <v>2008</v>
      </c>
    </row>
    <row r="487" spans="2:15" s="9" customFormat="1" ht="12.75">
      <c r="B487" s="10"/>
      <c r="C487" s="198">
        <v>4851733</v>
      </c>
      <c r="E487" s="67">
        <v>4862464</v>
      </c>
      <c r="F487" s="200">
        <f t="shared" si="14"/>
        <v>10731</v>
      </c>
      <c r="M487" s="13" t="s">
        <v>156</v>
      </c>
      <c r="N487" s="9" t="s">
        <v>97</v>
      </c>
      <c r="O487" s="10">
        <v>2012</v>
      </c>
    </row>
    <row r="488" spans="3:15" s="9" customFormat="1" ht="12.75">
      <c r="C488" s="9">
        <v>4851735</v>
      </c>
      <c r="E488" s="11">
        <v>4862466</v>
      </c>
      <c r="F488" s="12">
        <f t="shared" si="14"/>
        <v>10731</v>
      </c>
      <c r="H488" s="9" t="s">
        <v>153</v>
      </c>
      <c r="J488" s="142">
        <v>29988</v>
      </c>
      <c r="K488" s="25">
        <v>747</v>
      </c>
      <c r="L488" s="9">
        <v>14853</v>
      </c>
      <c r="M488" s="13" t="s">
        <v>156</v>
      </c>
      <c r="N488" s="9" t="s">
        <v>97</v>
      </c>
      <c r="O488" s="10" t="s">
        <v>157</v>
      </c>
    </row>
    <row r="489" spans="3:15" s="9" customFormat="1" ht="12.75">
      <c r="C489" s="9">
        <v>4851739</v>
      </c>
      <c r="E489" s="11">
        <v>4862470</v>
      </c>
      <c r="F489" s="12">
        <f t="shared" si="14"/>
        <v>10731</v>
      </c>
      <c r="K489" s="10"/>
      <c r="M489" s="13"/>
      <c r="O489" s="13">
        <v>1987</v>
      </c>
    </row>
    <row r="490" spans="3:15" s="9" customFormat="1" ht="12.75">
      <c r="C490" s="198">
        <v>4851741</v>
      </c>
      <c r="E490" s="11">
        <v>4862472</v>
      </c>
      <c r="F490" s="200">
        <f t="shared" si="14"/>
        <v>10731</v>
      </c>
      <c r="K490" s="10"/>
      <c r="M490" s="13" t="s">
        <v>156</v>
      </c>
      <c r="N490" s="198" t="s">
        <v>97</v>
      </c>
      <c r="O490" s="13">
        <v>2010</v>
      </c>
    </row>
    <row r="491" spans="3:15" s="9" customFormat="1" ht="12.75">
      <c r="C491" s="9">
        <v>4851746</v>
      </c>
      <c r="E491" s="11">
        <v>4862477</v>
      </c>
      <c r="F491" s="12">
        <f t="shared" si="14"/>
        <v>10731</v>
      </c>
      <c r="M491" s="10">
        <v>1970</v>
      </c>
      <c r="N491" s="9" t="s">
        <v>97</v>
      </c>
      <c r="O491" s="10">
        <v>2008</v>
      </c>
    </row>
    <row r="492" spans="3:15" s="2" customFormat="1" ht="13.5" thickBot="1">
      <c r="C492" s="43">
        <v>4851749</v>
      </c>
      <c r="E492" s="3">
        <v>4862480</v>
      </c>
      <c r="F492" s="4">
        <v>10731</v>
      </c>
      <c r="J492" s="144">
        <v>30002</v>
      </c>
      <c r="K492" s="43">
        <v>747</v>
      </c>
      <c r="L492" s="43">
        <v>29005</v>
      </c>
      <c r="M492" s="6">
        <v>1970</v>
      </c>
      <c r="O492" s="6" t="s">
        <v>30</v>
      </c>
    </row>
    <row r="493" spans="3:15" s="9" customFormat="1" ht="12.75">
      <c r="C493" s="9">
        <v>4851750</v>
      </c>
      <c r="E493" s="11"/>
      <c r="F493" s="12"/>
      <c r="K493" s="9">
        <f>1750-843</f>
        <v>907</v>
      </c>
      <c r="L493" s="9">
        <v>30843</v>
      </c>
      <c r="M493" s="10"/>
      <c r="O493" s="10" t="s">
        <v>20</v>
      </c>
    </row>
    <row r="494" spans="3:15" s="9" customFormat="1" ht="12.75">
      <c r="C494" s="9">
        <v>4851755</v>
      </c>
      <c r="E494" s="11">
        <v>4862486</v>
      </c>
      <c r="F494" s="12">
        <f aca="true" t="shared" si="15" ref="F494:F507">E494-C494</f>
        <v>10731</v>
      </c>
      <c r="M494" s="10" t="s">
        <v>158</v>
      </c>
      <c r="O494" s="10">
        <v>2006</v>
      </c>
    </row>
    <row r="495" spans="3:15" s="9" customFormat="1" ht="12.75">
      <c r="C495" s="198">
        <v>4851773</v>
      </c>
      <c r="E495" s="11">
        <v>4862504</v>
      </c>
      <c r="F495" s="12">
        <f t="shared" si="15"/>
        <v>10731</v>
      </c>
      <c r="K495" s="9">
        <v>907</v>
      </c>
      <c r="L495" s="9">
        <v>30866</v>
      </c>
      <c r="M495" s="13" t="s">
        <v>159</v>
      </c>
      <c r="N495" s="9" t="s">
        <v>97</v>
      </c>
      <c r="O495" s="10">
        <v>2010</v>
      </c>
    </row>
    <row r="496" spans="3:15" s="9" customFormat="1" ht="12.75">
      <c r="C496" s="9">
        <v>4851775</v>
      </c>
      <c r="E496" s="11">
        <v>4862506</v>
      </c>
      <c r="F496" s="12">
        <f t="shared" si="15"/>
        <v>10731</v>
      </c>
      <c r="K496" s="9">
        <f>1775-868</f>
        <v>907</v>
      </c>
      <c r="L496" s="9">
        <v>30868</v>
      </c>
      <c r="M496" s="13" t="s">
        <v>160</v>
      </c>
      <c r="N496" s="9" t="s">
        <v>97</v>
      </c>
      <c r="O496" s="10">
        <v>2008</v>
      </c>
    </row>
    <row r="497" spans="3:15" s="9" customFormat="1" ht="12.75">
      <c r="C497" s="9">
        <v>4851810</v>
      </c>
      <c r="E497" s="11">
        <v>4862541</v>
      </c>
      <c r="F497" s="12">
        <f t="shared" si="15"/>
        <v>10731</v>
      </c>
      <c r="K497" s="9">
        <f>1810-903</f>
        <v>907</v>
      </c>
      <c r="L497" s="9">
        <v>30903</v>
      </c>
      <c r="M497" s="10">
        <v>1972</v>
      </c>
      <c r="N497" s="9" t="s">
        <v>97</v>
      </c>
      <c r="O497" s="10">
        <v>2008</v>
      </c>
    </row>
    <row r="498" spans="3:15" s="9" customFormat="1" ht="12.75">
      <c r="C498" s="9">
        <v>4851812</v>
      </c>
      <c r="E498" s="11">
        <v>4862543</v>
      </c>
      <c r="F498" s="12">
        <f t="shared" si="15"/>
        <v>10731</v>
      </c>
      <c r="M498" s="10">
        <v>1972</v>
      </c>
      <c r="N498" s="9" t="s">
        <v>97</v>
      </c>
      <c r="O498" s="10">
        <v>2009</v>
      </c>
    </row>
    <row r="499" spans="3:15" s="9" customFormat="1" ht="12.75">
      <c r="C499" s="9">
        <v>4851823</v>
      </c>
      <c r="E499" s="11">
        <v>4862554</v>
      </c>
      <c r="F499" s="12">
        <f t="shared" si="15"/>
        <v>10731</v>
      </c>
      <c r="K499" s="9">
        <f>1823-916</f>
        <v>907</v>
      </c>
      <c r="L499" s="9">
        <v>30916</v>
      </c>
      <c r="M499" s="10">
        <v>1972</v>
      </c>
      <c r="N499" s="9" t="s">
        <v>97</v>
      </c>
      <c r="O499" s="10" t="s">
        <v>48</v>
      </c>
    </row>
    <row r="500" spans="3:15" s="9" customFormat="1" ht="12.75">
      <c r="C500" s="198">
        <v>4851883</v>
      </c>
      <c r="E500" s="11">
        <v>4862614</v>
      </c>
      <c r="F500" s="200">
        <f t="shared" si="15"/>
        <v>10731</v>
      </c>
      <c r="K500" s="9">
        <v>907</v>
      </c>
      <c r="L500" s="9">
        <v>30976</v>
      </c>
      <c r="M500" s="13" t="s">
        <v>161</v>
      </c>
      <c r="N500" s="198" t="s">
        <v>97</v>
      </c>
      <c r="O500" s="10">
        <v>2020</v>
      </c>
    </row>
    <row r="501" spans="3:15" s="9" customFormat="1" ht="12.75">
      <c r="C501" s="9">
        <v>4851886</v>
      </c>
      <c r="E501" s="11">
        <v>4862617</v>
      </c>
      <c r="F501" s="12">
        <f t="shared" si="15"/>
        <v>10731</v>
      </c>
      <c r="K501" s="9">
        <f>1886-979</f>
        <v>907</v>
      </c>
      <c r="L501" s="9">
        <v>30979</v>
      </c>
      <c r="M501" s="10">
        <v>1972</v>
      </c>
      <c r="N501" s="9" t="s">
        <v>96</v>
      </c>
      <c r="O501" s="10" t="s">
        <v>38</v>
      </c>
    </row>
    <row r="502" spans="3:15" s="9" customFormat="1" ht="12.75">
      <c r="C502" s="9">
        <v>4851912</v>
      </c>
      <c r="E502" s="11">
        <v>4862643</v>
      </c>
      <c r="F502" s="12">
        <f t="shared" si="15"/>
        <v>10731</v>
      </c>
      <c r="M502" s="13" t="s">
        <v>162</v>
      </c>
      <c r="N502" s="9" t="s">
        <v>97</v>
      </c>
      <c r="O502" s="10">
        <v>2010</v>
      </c>
    </row>
    <row r="503" spans="3:15" s="9" customFormat="1" ht="12.75">
      <c r="C503" s="9">
        <v>4851916</v>
      </c>
      <c r="E503" s="11">
        <v>4862647</v>
      </c>
      <c r="F503" s="12">
        <f t="shared" si="15"/>
        <v>10731</v>
      </c>
      <c r="M503" s="10"/>
      <c r="O503" s="10">
        <v>2008</v>
      </c>
    </row>
    <row r="504" spans="3:15" s="9" customFormat="1" ht="12.75">
      <c r="C504" s="9">
        <v>4851936</v>
      </c>
      <c r="E504" s="11">
        <v>4862667</v>
      </c>
      <c r="F504" s="12">
        <f t="shared" si="15"/>
        <v>10731</v>
      </c>
      <c r="M504" s="13" t="s">
        <v>163</v>
      </c>
      <c r="N504" s="9" t="s">
        <v>97</v>
      </c>
      <c r="O504" s="10">
        <v>2008</v>
      </c>
    </row>
    <row r="505" spans="3:15" s="9" customFormat="1" ht="12.75">
      <c r="C505" s="9">
        <v>4851939</v>
      </c>
      <c r="E505" s="11">
        <v>4862670</v>
      </c>
      <c r="F505" s="12">
        <f t="shared" si="15"/>
        <v>10731</v>
      </c>
      <c r="K505" s="9">
        <f>939-32</f>
        <v>907</v>
      </c>
      <c r="L505" s="9">
        <v>31032</v>
      </c>
      <c r="M505" s="13">
        <v>1972</v>
      </c>
      <c r="N505" s="9" t="s">
        <v>96</v>
      </c>
      <c r="O505" s="10" t="s">
        <v>38</v>
      </c>
    </row>
    <row r="506" spans="3:15" s="9" customFormat="1" ht="12.75">
      <c r="C506" s="9">
        <v>4851946</v>
      </c>
      <c r="E506" s="11">
        <v>4862677</v>
      </c>
      <c r="F506" s="12">
        <f t="shared" si="15"/>
        <v>10731</v>
      </c>
      <c r="M506" s="10">
        <v>1972</v>
      </c>
      <c r="N506" s="9" t="s">
        <v>97</v>
      </c>
      <c r="O506" s="10">
        <v>2007</v>
      </c>
    </row>
    <row r="507" spans="3:15" s="9" customFormat="1" ht="12.75">
      <c r="C507" s="9">
        <v>4851947</v>
      </c>
      <c r="E507" s="66">
        <v>4862678</v>
      </c>
      <c r="F507" s="12">
        <f t="shared" si="15"/>
        <v>10731</v>
      </c>
      <c r="M507" s="10" t="s">
        <v>158</v>
      </c>
      <c r="O507" s="10">
        <v>1997</v>
      </c>
    </row>
    <row r="508" spans="3:15" s="2" customFormat="1" ht="13.5" thickBot="1">
      <c r="C508" s="186">
        <v>4851949</v>
      </c>
      <c r="D508" s="191"/>
      <c r="E508" s="191"/>
      <c r="F508" s="191"/>
      <c r="G508" s="191"/>
      <c r="H508" s="191"/>
      <c r="I508" s="191"/>
      <c r="J508" s="191"/>
      <c r="K508" s="191"/>
      <c r="L508" s="186">
        <v>31042</v>
      </c>
      <c r="M508" s="188">
        <v>1972</v>
      </c>
      <c r="O508" s="6" t="s">
        <v>20</v>
      </c>
    </row>
    <row r="509" spans="1:15" s="9" customFormat="1" ht="12.75">
      <c r="A509" s="9" t="s">
        <v>3</v>
      </c>
      <c r="B509" s="48">
        <v>710</v>
      </c>
      <c r="D509" s="142">
        <v>4870135</v>
      </c>
      <c r="E509" s="145"/>
      <c r="F509" s="142"/>
      <c r="G509" s="142" t="s">
        <v>6</v>
      </c>
      <c r="H509" s="142" t="s">
        <v>4</v>
      </c>
      <c r="I509" s="142" t="s">
        <v>6</v>
      </c>
      <c r="J509" s="142" t="s">
        <v>7</v>
      </c>
      <c r="K509" s="142"/>
      <c r="L509" s="142">
        <v>32579</v>
      </c>
      <c r="M509" s="141">
        <v>1973</v>
      </c>
      <c r="O509" s="10"/>
    </row>
    <row r="510" spans="2:15" s="9" customFormat="1" ht="12.75">
      <c r="B510" s="48"/>
      <c r="D510" s="54">
        <v>4870139</v>
      </c>
      <c r="E510" s="124"/>
      <c r="F510" s="54"/>
      <c r="G510" s="54"/>
      <c r="H510" s="97">
        <v>4864655</v>
      </c>
      <c r="I510" s="54"/>
      <c r="J510" s="54"/>
      <c r="K510" s="54"/>
      <c r="L510" s="54">
        <v>32583</v>
      </c>
      <c r="M510" s="49">
        <v>1973</v>
      </c>
      <c r="N510" s="9" t="s">
        <v>96</v>
      </c>
      <c r="O510" s="10" t="s">
        <v>20</v>
      </c>
    </row>
    <row r="511" spans="2:15" s="9" customFormat="1" ht="12.75">
      <c r="B511" s="48"/>
      <c r="D511" s="9">
        <v>4870144</v>
      </c>
      <c r="E511" s="61"/>
      <c r="F511" s="12"/>
      <c r="J511" s="39">
        <v>4871405</v>
      </c>
      <c r="L511" s="113"/>
      <c r="M511" s="10">
        <v>1973</v>
      </c>
      <c r="N511" s="9" t="s">
        <v>96</v>
      </c>
      <c r="O511" s="10" t="s">
        <v>30</v>
      </c>
    </row>
    <row r="512" spans="2:15" s="9" customFormat="1" ht="12.75">
      <c r="B512" s="48"/>
      <c r="D512" s="9">
        <v>4870145</v>
      </c>
      <c r="E512" s="61"/>
      <c r="F512" s="12"/>
      <c r="J512" s="66">
        <v>4871061</v>
      </c>
      <c r="M512" s="10"/>
      <c r="O512" s="10" t="s">
        <v>48</v>
      </c>
    </row>
    <row r="513" spans="2:15" s="9" customFormat="1" ht="12.75">
      <c r="B513" s="48"/>
      <c r="D513" s="9">
        <v>4870149</v>
      </c>
      <c r="E513" s="61"/>
      <c r="F513" s="12"/>
      <c r="J513" s="66">
        <v>4871292</v>
      </c>
      <c r="M513" s="10"/>
      <c r="O513" s="10" t="s">
        <v>164</v>
      </c>
    </row>
    <row r="514" spans="2:15" s="9" customFormat="1" ht="12.75">
      <c r="B514" s="48"/>
      <c r="D514" s="9">
        <v>4870150</v>
      </c>
      <c r="E514" s="61"/>
      <c r="F514" s="12"/>
      <c r="J514" s="66">
        <v>4871621</v>
      </c>
      <c r="M514" s="13" t="s">
        <v>165</v>
      </c>
      <c r="N514" s="9" t="s">
        <v>96</v>
      </c>
      <c r="O514" s="10">
        <v>2009</v>
      </c>
    </row>
    <row r="515" spans="2:15" s="9" customFormat="1" ht="12.75">
      <c r="B515" s="48"/>
      <c r="D515" s="9">
        <v>4870151</v>
      </c>
      <c r="E515" s="61"/>
      <c r="F515" s="12"/>
      <c r="H515" s="9">
        <v>4863992</v>
      </c>
      <c r="I515" s="9">
        <v>4868735</v>
      </c>
      <c r="J515" s="66">
        <v>4871468</v>
      </c>
      <c r="K515" s="9">
        <f>1151-595</f>
        <v>556</v>
      </c>
      <c r="L515" s="9">
        <v>32595</v>
      </c>
      <c r="M515" s="13">
        <v>1973</v>
      </c>
      <c r="N515" s="9" t="s">
        <v>96</v>
      </c>
      <c r="O515" s="10" t="s">
        <v>20</v>
      </c>
    </row>
    <row r="516" spans="2:15" s="9" customFormat="1" ht="12.75">
      <c r="B516" s="48"/>
      <c r="D516" s="198">
        <v>4870157</v>
      </c>
      <c r="E516" s="61"/>
      <c r="F516" s="12"/>
      <c r="J516" s="66">
        <v>4871551</v>
      </c>
      <c r="K516" s="9">
        <v>556</v>
      </c>
      <c r="L516" s="9">
        <v>32601</v>
      </c>
      <c r="M516" s="13">
        <v>1973</v>
      </c>
      <c r="N516" s="198" t="s">
        <v>96</v>
      </c>
      <c r="O516" s="10">
        <v>2009</v>
      </c>
    </row>
    <row r="517" spans="2:15" s="9" customFormat="1" ht="12.75">
      <c r="B517" s="48"/>
      <c r="D517" s="9">
        <v>4870164</v>
      </c>
      <c r="E517" s="61"/>
      <c r="F517" s="12"/>
      <c r="H517" s="92">
        <v>4863966</v>
      </c>
      <c r="J517" s="66"/>
      <c r="K517" s="9">
        <f>1164-608</f>
        <v>556</v>
      </c>
      <c r="L517" s="9">
        <v>32608</v>
      </c>
      <c r="M517" s="13">
        <v>1973</v>
      </c>
      <c r="N517" s="9" t="s">
        <v>96</v>
      </c>
      <c r="O517" s="10" t="s">
        <v>20</v>
      </c>
    </row>
    <row r="518" spans="2:15" s="9" customFormat="1" ht="12.75">
      <c r="B518" s="48"/>
      <c r="D518" s="9">
        <v>4870169</v>
      </c>
      <c r="E518" s="61"/>
      <c r="F518" s="12"/>
      <c r="J518" s="66">
        <v>4871628</v>
      </c>
      <c r="M518" s="10"/>
      <c r="O518" s="10" t="s">
        <v>164</v>
      </c>
    </row>
    <row r="519" spans="2:15" s="9" customFormat="1" ht="12.75">
      <c r="B519" s="48"/>
      <c r="D519" s="9">
        <v>4870170</v>
      </c>
      <c r="E519" s="61"/>
      <c r="F519" s="12"/>
      <c r="H519" s="92">
        <v>4863976</v>
      </c>
      <c r="J519" s="66"/>
      <c r="K519" s="9">
        <f>1170-614</f>
        <v>556</v>
      </c>
      <c r="L519" s="9">
        <v>32614</v>
      </c>
      <c r="M519" s="10">
        <v>1973</v>
      </c>
      <c r="N519" s="9" t="s">
        <v>96</v>
      </c>
      <c r="O519" s="10" t="s">
        <v>20</v>
      </c>
    </row>
    <row r="520" spans="2:15" s="9" customFormat="1" ht="12.75">
      <c r="B520" s="48"/>
      <c r="D520" s="9">
        <v>4870175</v>
      </c>
      <c r="E520" s="61"/>
      <c r="F520" s="12"/>
      <c r="J520" s="66">
        <v>4871664</v>
      </c>
      <c r="K520" s="9">
        <f>1175-619</f>
        <v>556</v>
      </c>
      <c r="L520" s="9">
        <v>32619</v>
      </c>
      <c r="M520" s="10">
        <v>1973</v>
      </c>
      <c r="N520" s="9" t="s">
        <v>96</v>
      </c>
      <c r="O520" s="10" t="s">
        <v>51</v>
      </c>
    </row>
    <row r="521" spans="2:15" s="9" customFormat="1" ht="12.75">
      <c r="B521" s="48"/>
      <c r="D521" s="9">
        <v>4870179</v>
      </c>
      <c r="E521" s="61"/>
      <c r="F521" s="183" t="s">
        <v>80</v>
      </c>
      <c r="G521" s="184">
        <v>4870961</v>
      </c>
      <c r="J521" s="66">
        <v>4871597</v>
      </c>
      <c r="M521" s="10">
        <v>1973</v>
      </c>
      <c r="O521" s="10">
        <v>2009</v>
      </c>
    </row>
    <row r="522" spans="2:15" s="9" customFormat="1" ht="12.75">
      <c r="B522" s="48"/>
      <c r="D522" s="9">
        <v>4870184</v>
      </c>
      <c r="E522" s="61"/>
      <c r="F522" s="12"/>
      <c r="J522" s="66">
        <v>4871005</v>
      </c>
      <c r="M522" s="10"/>
      <c r="O522" s="10" t="s">
        <v>164</v>
      </c>
    </row>
    <row r="523" spans="2:15" s="9" customFormat="1" ht="12.75">
      <c r="B523" s="48"/>
      <c r="D523" s="9">
        <v>4870187</v>
      </c>
      <c r="E523" s="61"/>
      <c r="F523" s="12"/>
      <c r="J523" s="66">
        <v>4871254</v>
      </c>
      <c r="M523" s="10">
        <v>1973</v>
      </c>
      <c r="O523" s="10">
        <v>2009</v>
      </c>
    </row>
    <row r="524" spans="2:15" s="9" customFormat="1" ht="12.75">
      <c r="B524" s="48"/>
      <c r="D524" s="9">
        <v>4870188</v>
      </c>
      <c r="E524" s="61"/>
      <c r="F524" s="12"/>
      <c r="J524" s="66">
        <v>4871006</v>
      </c>
      <c r="K524" s="9">
        <f>1188-632</f>
        <v>556</v>
      </c>
      <c r="L524" s="9">
        <v>32632</v>
      </c>
      <c r="M524" s="10">
        <v>1973</v>
      </c>
      <c r="N524" s="9" t="s">
        <v>96</v>
      </c>
      <c r="O524" s="10" t="s">
        <v>48</v>
      </c>
    </row>
    <row r="525" spans="2:15" s="9" customFormat="1" ht="12.75">
      <c r="B525" s="48"/>
      <c r="D525" s="9">
        <v>4870190</v>
      </c>
      <c r="E525" s="61"/>
      <c r="F525" s="12"/>
      <c r="J525" s="66">
        <v>4871373</v>
      </c>
      <c r="M525" s="10">
        <v>1973</v>
      </c>
      <c r="O525" s="10">
        <v>2009</v>
      </c>
    </row>
    <row r="526" spans="2:15" s="9" customFormat="1" ht="12.75">
      <c r="B526" s="48"/>
      <c r="D526" s="9">
        <v>4870202</v>
      </c>
      <c r="E526" s="61"/>
      <c r="F526" s="12"/>
      <c r="J526" s="66">
        <v>4871078</v>
      </c>
      <c r="M526" s="10"/>
      <c r="O526" s="10" t="s">
        <v>164</v>
      </c>
    </row>
    <row r="527" spans="2:15" s="9" customFormat="1" ht="12.75">
      <c r="B527" s="48"/>
      <c r="D527" s="9">
        <v>4870207</v>
      </c>
      <c r="E527" s="61"/>
      <c r="F527" s="12"/>
      <c r="H527" s="9">
        <v>4863921</v>
      </c>
      <c r="I527" s="92">
        <v>4868703</v>
      </c>
      <c r="J527" s="66"/>
      <c r="K527" s="9">
        <f>1207-651</f>
        <v>556</v>
      </c>
      <c r="L527" s="9">
        <v>32651</v>
      </c>
      <c r="M527" s="10">
        <v>1973</v>
      </c>
      <c r="N527" s="9" t="s">
        <v>96</v>
      </c>
      <c r="O527" s="10" t="s">
        <v>20</v>
      </c>
    </row>
    <row r="528" spans="2:15" s="9" customFormat="1" ht="12.75">
      <c r="B528" s="48"/>
      <c r="D528" s="9">
        <v>4870211</v>
      </c>
      <c r="E528" s="61"/>
      <c r="F528" s="12"/>
      <c r="J528" s="66">
        <v>4871173</v>
      </c>
      <c r="M528" s="10"/>
      <c r="O528" s="10" t="s">
        <v>164</v>
      </c>
    </row>
    <row r="529" spans="2:15" s="9" customFormat="1" ht="12.75">
      <c r="B529" s="48"/>
      <c r="D529" s="9">
        <v>4870213</v>
      </c>
      <c r="E529" s="61"/>
      <c r="F529" s="12"/>
      <c r="J529" s="66">
        <v>4871029</v>
      </c>
      <c r="M529" s="10">
        <v>1973</v>
      </c>
      <c r="N529" s="9" t="s">
        <v>96</v>
      </c>
      <c r="O529" s="10" t="s">
        <v>30</v>
      </c>
    </row>
    <row r="530" spans="2:15" s="9" customFormat="1" ht="12.75">
      <c r="B530" s="48"/>
      <c r="D530" s="9">
        <v>4870218</v>
      </c>
      <c r="E530" s="61"/>
      <c r="F530" s="12"/>
      <c r="H530" s="9">
        <v>4863948</v>
      </c>
      <c r="I530" s="92">
        <v>4868723</v>
      </c>
      <c r="J530" s="66"/>
      <c r="K530" s="9">
        <f>1218-662</f>
        <v>556</v>
      </c>
      <c r="L530" s="9">
        <v>32662</v>
      </c>
      <c r="M530" s="10">
        <v>1973</v>
      </c>
      <c r="N530" s="9" t="s">
        <v>96</v>
      </c>
      <c r="O530" s="10" t="s">
        <v>20</v>
      </c>
    </row>
    <row r="531" spans="2:15" s="9" customFormat="1" ht="12.75">
      <c r="B531" s="48"/>
      <c r="D531" s="9">
        <v>4870227</v>
      </c>
      <c r="E531" s="61"/>
      <c r="F531" s="12"/>
      <c r="J531" s="66">
        <v>4871059</v>
      </c>
      <c r="M531" s="10"/>
      <c r="O531" s="10" t="s">
        <v>30</v>
      </c>
    </row>
    <row r="532" spans="2:15" s="9" customFormat="1" ht="12.75">
      <c r="B532" s="48"/>
      <c r="D532" s="9">
        <v>4870228</v>
      </c>
      <c r="E532" s="61"/>
      <c r="F532" s="12"/>
      <c r="J532" s="66">
        <v>4871430</v>
      </c>
      <c r="M532" s="10">
        <v>1973</v>
      </c>
      <c r="N532" s="9" t="s">
        <v>96</v>
      </c>
      <c r="O532" s="10" t="s">
        <v>48</v>
      </c>
    </row>
    <row r="533" spans="2:15" s="9" customFormat="1" ht="12.75">
      <c r="B533" s="48"/>
      <c r="D533" s="53">
        <v>4870229</v>
      </c>
      <c r="E533" s="61"/>
      <c r="F533" s="12"/>
      <c r="J533" s="66"/>
      <c r="M533" s="10"/>
      <c r="O533" s="10">
        <v>1993</v>
      </c>
    </row>
    <row r="534" spans="2:15" s="9" customFormat="1" ht="12.75">
      <c r="B534" s="48"/>
      <c r="C534" s="9" t="s">
        <v>166</v>
      </c>
      <c r="D534" s="52">
        <v>4870239</v>
      </c>
      <c r="E534" s="61"/>
      <c r="F534" s="12"/>
      <c r="J534" s="66">
        <v>4871363</v>
      </c>
      <c r="K534" s="9">
        <f>1239-683</f>
        <v>556</v>
      </c>
      <c r="L534" s="9">
        <v>32683</v>
      </c>
      <c r="M534" s="10">
        <v>1973</v>
      </c>
      <c r="N534" s="9" t="s">
        <v>96</v>
      </c>
      <c r="O534" s="10">
        <v>2009</v>
      </c>
    </row>
    <row r="535" spans="2:15" s="9" customFormat="1" ht="12.75">
      <c r="B535" s="48"/>
      <c r="D535" s="52">
        <v>4870247</v>
      </c>
      <c r="E535" s="61"/>
      <c r="F535" s="12"/>
      <c r="H535" s="9">
        <v>4863950</v>
      </c>
      <c r="I535" s="92">
        <v>4868737</v>
      </c>
      <c r="J535" s="66"/>
      <c r="K535" s="9">
        <f>1247-691</f>
        <v>556</v>
      </c>
      <c r="L535" s="9">
        <v>32691</v>
      </c>
      <c r="M535" s="10">
        <v>1973</v>
      </c>
      <c r="N535" s="9" t="s">
        <v>96</v>
      </c>
      <c r="O535" s="10" t="s">
        <v>20</v>
      </c>
    </row>
    <row r="536" spans="2:15" s="9" customFormat="1" ht="12.75">
      <c r="B536" s="48"/>
      <c r="D536" s="52">
        <v>4870256</v>
      </c>
      <c r="E536" s="61"/>
      <c r="F536" s="12"/>
      <c r="J536" s="66">
        <v>4871084</v>
      </c>
      <c r="M536" s="10"/>
      <c r="O536" s="10" t="s">
        <v>30</v>
      </c>
    </row>
    <row r="537" spans="2:15" s="9" customFormat="1" ht="12.75">
      <c r="B537" s="48"/>
      <c r="D537" s="55">
        <v>4870259</v>
      </c>
      <c r="E537" s="61"/>
      <c r="F537" s="12"/>
      <c r="J537" s="66">
        <v>4871435</v>
      </c>
      <c r="M537" s="10"/>
      <c r="O537" s="10">
        <v>2009</v>
      </c>
    </row>
    <row r="538" spans="2:15" s="9" customFormat="1" ht="12.75">
      <c r="B538" s="48"/>
      <c r="D538" s="55">
        <v>4870261</v>
      </c>
      <c r="E538" s="61"/>
      <c r="F538" s="12"/>
      <c r="J538" s="66">
        <v>4871474</v>
      </c>
      <c r="M538" s="10">
        <v>1973</v>
      </c>
      <c r="N538" s="9" t="s">
        <v>96</v>
      </c>
      <c r="O538" s="10" t="s">
        <v>48</v>
      </c>
    </row>
    <row r="539" spans="1:15" s="9" customFormat="1" ht="12.75">
      <c r="A539" s="9" t="s">
        <v>3</v>
      </c>
      <c r="B539" s="48">
        <v>710</v>
      </c>
      <c r="D539" s="9">
        <v>4870263</v>
      </c>
      <c r="E539" s="61"/>
      <c r="F539" s="12"/>
      <c r="H539" s="9">
        <v>4863933</v>
      </c>
      <c r="I539" s="9">
        <v>4868736</v>
      </c>
      <c r="J539" s="66">
        <v>4871340</v>
      </c>
      <c r="K539" s="9">
        <f>1263-707</f>
        <v>556</v>
      </c>
      <c r="L539" s="9">
        <v>32707</v>
      </c>
      <c r="M539" s="10">
        <v>1973</v>
      </c>
      <c r="N539" s="9" t="s">
        <v>96</v>
      </c>
      <c r="O539" s="10" t="s">
        <v>20</v>
      </c>
    </row>
    <row r="540" spans="2:15" s="9" customFormat="1" ht="12.75">
      <c r="B540" s="48"/>
      <c r="D540" s="9">
        <v>4870264</v>
      </c>
      <c r="E540" s="61"/>
      <c r="F540" s="12"/>
      <c r="J540" s="66">
        <v>4871002</v>
      </c>
      <c r="M540" s="10">
        <v>1973</v>
      </c>
      <c r="N540" s="9" t="s">
        <v>96</v>
      </c>
      <c r="O540" s="10" t="s">
        <v>51</v>
      </c>
    </row>
    <row r="541" spans="2:15" s="9" customFormat="1" ht="12.75">
      <c r="B541" s="48"/>
      <c r="D541" s="9">
        <v>4870267</v>
      </c>
      <c r="E541" s="61"/>
      <c r="F541" s="12"/>
      <c r="J541" s="66">
        <v>4871417</v>
      </c>
      <c r="M541" s="10">
        <v>1973</v>
      </c>
      <c r="N541" s="9" t="s">
        <v>96</v>
      </c>
      <c r="O541" s="10" t="s">
        <v>30</v>
      </c>
    </row>
    <row r="542" spans="2:15" s="9" customFormat="1" ht="12.75">
      <c r="B542" s="48"/>
      <c r="D542" s="9">
        <v>4870273</v>
      </c>
      <c r="E542" s="61"/>
      <c r="F542" s="12"/>
      <c r="J542" s="66">
        <v>4871667</v>
      </c>
      <c r="M542" s="10"/>
      <c r="O542" s="10" t="s">
        <v>164</v>
      </c>
    </row>
    <row r="543" spans="2:15" s="9" customFormat="1" ht="12.75">
      <c r="B543" s="48"/>
      <c r="C543" s="9" t="s">
        <v>166</v>
      </c>
      <c r="D543" s="9">
        <v>4870275</v>
      </c>
      <c r="E543" s="61"/>
      <c r="F543" s="12"/>
      <c r="I543" s="9">
        <v>4868707</v>
      </c>
      <c r="J543" s="66">
        <v>4871242</v>
      </c>
      <c r="M543" s="10">
        <v>1973</v>
      </c>
      <c r="O543" s="10">
        <v>2009</v>
      </c>
    </row>
    <row r="544" spans="2:15" s="9" customFormat="1" ht="12.75">
      <c r="B544" s="48"/>
      <c r="D544" s="9">
        <v>4870277</v>
      </c>
      <c r="E544" s="61"/>
      <c r="F544" s="12"/>
      <c r="J544" s="66">
        <v>4871350</v>
      </c>
      <c r="M544" s="10"/>
      <c r="O544" s="10" t="s">
        <v>30</v>
      </c>
    </row>
    <row r="545" spans="2:15" s="9" customFormat="1" ht="12.75">
      <c r="B545" s="48"/>
      <c r="D545" s="9">
        <v>4870278</v>
      </c>
      <c r="E545" s="61"/>
      <c r="F545" s="12"/>
      <c r="G545" s="82"/>
      <c r="H545" s="39">
        <v>4863977</v>
      </c>
      <c r="I545" s="39"/>
      <c r="J545" s="66"/>
      <c r="K545" s="9">
        <f>1278-722</f>
        <v>556</v>
      </c>
      <c r="L545" s="9">
        <v>32722</v>
      </c>
      <c r="M545" s="10">
        <v>1973</v>
      </c>
      <c r="N545" s="9" t="s">
        <v>96</v>
      </c>
      <c r="O545" s="10" t="s">
        <v>30</v>
      </c>
    </row>
    <row r="546" spans="2:15" s="9" customFormat="1" ht="12.75">
      <c r="B546" s="48"/>
      <c r="D546" s="9">
        <v>4870281</v>
      </c>
      <c r="E546" s="61"/>
      <c r="F546" s="12"/>
      <c r="J546" s="66">
        <v>4871236</v>
      </c>
      <c r="M546" s="10"/>
      <c r="O546" s="10">
        <v>2009</v>
      </c>
    </row>
    <row r="547" spans="2:15" s="9" customFormat="1" ht="12.75">
      <c r="B547" s="48"/>
      <c r="D547" s="9">
        <v>4870282</v>
      </c>
      <c r="E547" s="61"/>
      <c r="F547" s="12"/>
      <c r="J547" s="66">
        <v>4871143</v>
      </c>
      <c r="M547" s="10">
        <v>1973</v>
      </c>
      <c r="N547" s="9" t="s">
        <v>96</v>
      </c>
      <c r="O547" s="10">
        <v>2009</v>
      </c>
    </row>
    <row r="548" spans="2:15" s="9" customFormat="1" ht="12.75">
      <c r="B548" s="48"/>
      <c r="D548" s="9">
        <v>4870286</v>
      </c>
      <c r="E548" s="61"/>
      <c r="F548" s="12"/>
      <c r="J548" s="66">
        <v>4871421</v>
      </c>
      <c r="M548" s="10">
        <v>1973</v>
      </c>
      <c r="N548" s="9" t="s">
        <v>96</v>
      </c>
      <c r="O548" s="10" t="s">
        <v>30</v>
      </c>
    </row>
    <row r="549" spans="2:15" s="9" customFormat="1" ht="12.75">
      <c r="B549" s="48"/>
      <c r="D549" s="9">
        <v>4870290</v>
      </c>
      <c r="E549" s="61"/>
      <c r="F549" s="12"/>
      <c r="J549" s="66">
        <v>4871594</v>
      </c>
      <c r="M549" s="10">
        <v>1973</v>
      </c>
      <c r="N549" s="9" t="s">
        <v>96</v>
      </c>
      <c r="O549" s="10" t="s">
        <v>48</v>
      </c>
    </row>
    <row r="550" spans="2:15" s="9" customFormat="1" ht="12.75">
      <c r="B550" s="48"/>
      <c r="D550" s="9">
        <v>4870294</v>
      </c>
      <c r="E550" s="61"/>
      <c r="F550" s="12"/>
      <c r="H550" s="92">
        <v>4863979</v>
      </c>
      <c r="J550" s="66"/>
      <c r="K550" s="9">
        <f>1294-738</f>
        <v>556</v>
      </c>
      <c r="L550" s="9">
        <v>32738</v>
      </c>
      <c r="M550" s="10">
        <v>1973</v>
      </c>
      <c r="N550" s="9" t="s">
        <v>96</v>
      </c>
      <c r="O550" s="10" t="s">
        <v>20</v>
      </c>
    </row>
    <row r="551" spans="2:15" s="9" customFormat="1" ht="12.75">
      <c r="B551" s="48"/>
      <c r="D551" s="9">
        <v>4870297</v>
      </c>
      <c r="E551" s="61"/>
      <c r="F551" s="12"/>
      <c r="J551" s="66">
        <v>4871122</v>
      </c>
      <c r="M551" s="10"/>
      <c r="O551" s="10" t="s">
        <v>30</v>
      </c>
    </row>
    <row r="552" spans="2:15" s="9" customFormat="1" ht="12.75">
      <c r="B552" s="48"/>
      <c r="D552" s="9">
        <v>4870298</v>
      </c>
      <c r="E552" s="61"/>
      <c r="F552" s="12"/>
      <c r="J552" s="66">
        <v>4871088</v>
      </c>
      <c r="M552" s="10"/>
      <c r="O552" s="10"/>
    </row>
    <row r="553" spans="2:15" s="9" customFormat="1" ht="12.75">
      <c r="B553" s="48"/>
      <c r="D553" s="198">
        <v>4870299</v>
      </c>
      <c r="E553" s="61"/>
      <c r="F553" s="12"/>
      <c r="J553" s="66">
        <v>4871053</v>
      </c>
      <c r="M553" s="10">
        <v>1973</v>
      </c>
      <c r="N553" s="230" t="s">
        <v>167</v>
      </c>
      <c r="O553" s="10">
        <v>2016</v>
      </c>
    </row>
    <row r="554" spans="2:15" s="9" customFormat="1" ht="12.75">
      <c r="B554" s="48"/>
      <c r="D554" s="9">
        <v>4870304</v>
      </c>
      <c r="E554" s="61"/>
      <c r="F554" s="12"/>
      <c r="J554" s="66">
        <v>4871018</v>
      </c>
      <c r="M554" s="10"/>
      <c r="O554" s="10" t="s">
        <v>30</v>
      </c>
    </row>
    <row r="555" spans="2:15" s="9" customFormat="1" ht="12.75">
      <c r="B555" s="48"/>
      <c r="D555" s="9">
        <v>4870309</v>
      </c>
      <c r="E555" s="61"/>
      <c r="F555" s="12"/>
      <c r="J555" s="66">
        <v>4871100</v>
      </c>
      <c r="M555" s="13" t="s">
        <v>168</v>
      </c>
      <c r="N555" s="9" t="s">
        <v>96</v>
      </c>
      <c r="O555" s="10">
        <v>2009</v>
      </c>
    </row>
    <row r="556" spans="2:15" s="9" customFormat="1" ht="12.75">
      <c r="B556" s="48"/>
      <c r="D556" s="9">
        <v>4870311</v>
      </c>
      <c r="E556" s="61"/>
      <c r="F556" s="12"/>
      <c r="H556" s="9">
        <v>4863951</v>
      </c>
      <c r="I556" s="92">
        <v>4868728</v>
      </c>
      <c r="J556" s="66"/>
      <c r="K556" s="9">
        <f>1311-755</f>
        <v>556</v>
      </c>
      <c r="L556" s="9">
        <v>32755</v>
      </c>
      <c r="M556" s="13">
        <v>1973</v>
      </c>
      <c r="N556" s="9" t="s">
        <v>96</v>
      </c>
      <c r="O556" s="10" t="s">
        <v>20</v>
      </c>
    </row>
    <row r="557" spans="2:15" s="9" customFormat="1" ht="12.75">
      <c r="B557" s="48"/>
      <c r="D557" s="9">
        <v>4870314</v>
      </c>
      <c r="E557" s="61"/>
      <c r="F557" s="12"/>
      <c r="J557" s="66">
        <v>4871460</v>
      </c>
      <c r="M557" s="13" t="s">
        <v>168</v>
      </c>
      <c r="N557" s="9" t="s">
        <v>96</v>
      </c>
      <c r="O557" s="10">
        <v>2009</v>
      </c>
    </row>
    <row r="558" spans="2:15" s="9" customFormat="1" ht="12.75">
      <c r="B558" s="48"/>
      <c r="D558" s="9">
        <v>4870315</v>
      </c>
      <c r="E558" s="61"/>
      <c r="F558" s="12"/>
      <c r="J558" s="66">
        <v>4871670</v>
      </c>
      <c r="M558" s="10"/>
      <c r="O558" s="10">
        <v>2009</v>
      </c>
    </row>
    <row r="559" spans="2:15" s="9" customFormat="1" ht="12.75">
      <c r="B559" s="48"/>
      <c r="D559" s="9">
        <v>4870316</v>
      </c>
      <c r="E559" s="61"/>
      <c r="F559" s="12"/>
      <c r="J559" s="66">
        <v>4871487</v>
      </c>
      <c r="M559" s="10"/>
      <c r="O559" s="10" t="s">
        <v>48</v>
      </c>
    </row>
    <row r="560" spans="2:15" s="9" customFormat="1" ht="12.75">
      <c r="B560" s="48"/>
      <c r="D560" s="9">
        <v>4870320</v>
      </c>
      <c r="E560" s="61"/>
      <c r="F560" s="12"/>
      <c r="J560" s="66">
        <v>4871677</v>
      </c>
      <c r="M560" s="10">
        <v>1973</v>
      </c>
      <c r="N560" s="16" t="s">
        <v>167</v>
      </c>
      <c r="O560" s="10">
        <v>2009</v>
      </c>
    </row>
    <row r="561" spans="2:15" s="9" customFormat="1" ht="12.75">
      <c r="B561" s="48"/>
      <c r="D561" s="9">
        <v>4870327</v>
      </c>
      <c r="E561" s="61"/>
      <c r="F561" s="12"/>
      <c r="J561" s="66">
        <v>4871330</v>
      </c>
      <c r="M561" s="10">
        <v>1973</v>
      </c>
      <c r="N561" s="9" t="s">
        <v>96</v>
      </c>
      <c r="O561" s="10" t="s">
        <v>30</v>
      </c>
    </row>
    <row r="562" spans="2:15" s="9" customFormat="1" ht="12.75">
      <c r="B562" s="48"/>
      <c r="D562" s="9">
        <v>4870328</v>
      </c>
      <c r="E562" s="61"/>
      <c r="F562" s="12"/>
      <c r="H562" s="92">
        <v>4863919</v>
      </c>
      <c r="J562" s="66"/>
      <c r="K562" s="9">
        <f>1328-772</f>
        <v>556</v>
      </c>
      <c r="L562" s="9">
        <v>32772</v>
      </c>
      <c r="M562" s="10">
        <v>1973</v>
      </c>
      <c r="N562" s="9" t="s">
        <v>96</v>
      </c>
      <c r="O562" s="10" t="s">
        <v>20</v>
      </c>
    </row>
    <row r="563" spans="2:15" s="9" customFormat="1" ht="12.75">
      <c r="B563" s="48"/>
      <c r="D563" s="9">
        <v>4870330</v>
      </c>
      <c r="E563" s="61"/>
      <c r="F563" s="12"/>
      <c r="J563" s="66">
        <v>4871103</v>
      </c>
      <c r="M563" s="10">
        <v>1973</v>
      </c>
      <c r="N563" s="9" t="s">
        <v>96</v>
      </c>
      <c r="O563" s="10" t="s">
        <v>51</v>
      </c>
    </row>
    <row r="564" spans="2:15" s="9" customFormat="1" ht="12.75">
      <c r="B564" s="48"/>
      <c r="D564" s="9">
        <v>4870331</v>
      </c>
      <c r="E564" s="61"/>
      <c r="F564" s="12"/>
      <c r="H564" s="9">
        <v>4863968</v>
      </c>
      <c r="I564" s="9">
        <v>4868704</v>
      </c>
      <c r="J564" s="66">
        <v>4871471</v>
      </c>
      <c r="K564" s="9">
        <f>1331-775</f>
        <v>556</v>
      </c>
      <c r="L564" s="9">
        <v>32775</v>
      </c>
      <c r="M564" s="10">
        <v>1973</v>
      </c>
      <c r="N564" s="9" t="s">
        <v>96</v>
      </c>
      <c r="O564" s="10" t="s">
        <v>51</v>
      </c>
    </row>
    <row r="565" spans="1:15" s="44" customFormat="1" ht="13.5" thickBot="1">
      <c r="A565" s="44" t="s">
        <v>3</v>
      </c>
      <c r="B565" s="206">
        <v>710</v>
      </c>
      <c r="D565" s="202">
        <v>4870334</v>
      </c>
      <c r="E565" s="46"/>
      <c r="J565" s="203">
        <v>4871602</v>
      </c>
      <c r="M565" s="204" t="s">
        <v>169</v>
      </c>
      <c r="N565" s="202" t="s">
        <v>96</v>
      </c>
      <c r="O565" s="205">
        <v>2009</v>
      </c>
    </row>
    <row r="566" spans="2:15" s="47" customFormat="1" ht="12.75">
      <c r="B566" s="47" t="s">
        <v>111</v>
      </c>
      <c r="C566" s="142">
        <v>4851950</v>
      </c>
      <c r="D566" s="142"/>
      <c r="E566" s="142"/>
      <c r="F566" s="142"/>
      <c r="G566" s="142"/>
      <c r="H566" s="142"/>
      <c r="I566" s="142"/>
      <c r="J566" s="142"/>
      <c r="K566" s="142"/>
      <c r="L566" s="142">
        <v>32979</v>
      </c>
      <c r="M566" s="141"/>
      <c r="N566" s="142"/>
      <c r="O566" s="141" t="s">
        <v>170</v>
      </c>
    </row>
    <row r="567" spans="3:15" s="224" customFormat="1" ht="12.75">
      <c r="C567" s="224">
        <v>4851951</v>
      </c>
      <c r="E567" s="226">
        <v>4862682</v>
      </c>
      <c r="F567" s="12">
        <f aca="true" t="shared" si="16" ref="F567:F591">E567-C567</f>
        <v>10731</v>
      </c>
      <c r="M567" s="227" t="s">
        <v>169</v>
      </c>
      <c r="N567" s="228" t="s">
        <v>171</v>
      </c>
      <c r="O567" s="225">
        <v>2010</v>
      </c>
    </row>
    <row r="568" spans="3:15" s="9" customFormat="1" ht="12.75">
      <c r="C568" s="9">
        <v>4851967</v>
      </c>
      <c r="E568" s="11">
        <v>4862698</v>
      </c>
      <c r="F568" s="12">
        <f t="shared" si="16"/>
        <v>10731</v>
      </c>
      <c r="M568" s="10">
        <v>1974</v>
      </c>
      <c r="N568" s="9" t="s">
        <v>96</v>
      </c>
      <c r="O568" s="10">
        <v>2007</v>
      </c>
    </row>
    <row r="569" spans="3:15" s="9" customFormat="1" ht="12.75">
      <c r="C569" s="9">
        <v>4851968</v>
      </c>
      <c r="E569" s="11">
        <v>4862699</v>
      </c>
      <c r="F569" s="12">
        <f t="shared" si="16"/>
        <v>10731</v>
      </c>
      <c r="M569" s="10">
        <v>1974</v>
      </c>
      <c r="N569" s="9" t="s">
        <v>171</v>
      </c>
      <c r="O569" s="10">
        <v>2006</v>
      </c>
    </row>
    <row r="570" spans="3:15" s="9" customFormat="1" ht="12.75">
      <c r="C570" s="9">
        <v>4851969</v>
      </c>
      <c r="E570" s="11">
        <v>4862700</v>
      </c>
      <c r="F570" s="12">
        <f t="shared" si="16"/>
        <v>10731</v>
      </c>
      <c r="M570" s="10">
        <v>1974</v>
      </c>
      <c r="N570" s="9" t="s">
        <v>96</v>
      </c>
      <c r="O570" s="10">
        <v>2007</v>
      </c>
    </row>
    <row r="571" spans="3:15" s="9" customFormat="1" ht="12.75">
      <c r="C571" s="198">
        <v>4851975</v>
      </c>
      <c r="E571" s="11">
        <v>4862706</v>
      </c>
      <c r="F571" s="200">
        <f t="shared" si="16"/>
        <v>10731</v>
      </c>
      <c r="M571" s="10"/>
      <c r="O571" s="10">
        <v>2012</v>
      </c>
    </row>
    <row r="572" spans="3:15" s="9" customFormat="1" ht="12.75">
      <c r="C572" s="9">
        <v>4851976</v>
      </c>
      <c r="E572" s="11">
        <v>4862707</v>
      </c>
      <c r="F572" s="12">
        <f t="shared" si="16"/>
        <v>10731</v>
      </c>
      <c r="M572" s="10">
        <v>1974</v>
      </c>
      <c r="N572" s="9" t="s">
        <v>171</v>
      </c>
      <c r="O572" s="10">
        <v>2008</v>
      </c>
    </row>
    <row r="573" spans="3:15" s="9" customFormat="1" ht="12.75">
      <c r="C573" s="9">
        <v>4851978</v>
      </c>
      <c r="E573" s="11">
        <v>4862709</v>
      </c>
      <c r="F573" s="12">
        <f t="shared" si="16"/>
        <v>10731</v>
      </c>
      <c r="K573" s="9">
        <f>978-7</f>
        <v>971</v>
      </c>
      <c r="L573" s="9">
        <v>33007</v>
      </c>
      <c r="M573" s="10">
        <v>1974</v>
      </c>
      <c r="N573" s="9" t="s">
        <v>96</v>
      </c>
      <c r="O573" s="10">
        <v>2008</v>
      </c>
    </row>
    <row r="574" spans="3:15" s="9" customFormat="1" ht="12.75">
      <c r="C574" s="198">
        <v>4851982</v>
      </c>
      <c r="E574" s="11">
        <v>4862713</v>
      </c>
      <c r="F574" s="200">
        <f t="shared" si="16"/>
        <v>10731</v>
      </c>
      <c r="K574" s="9">
        <v>971</v>
      </c>
      <c r="L574" s="9">
        <v>33011</v>
      </c>
      <c r="M574" s="13" t="s">
        <v>172</v>
      </c>
      <c r="N574" s="198" t="s">
        <v>96</v>
      </c>
      <c r="O574" s="10">
        <v>2011</v>
      </c>
    </row>
    <row r="575" spans="3:15" s="9" customFormat="1" ht="12.75">
      <c r="C575" s="9">
        <v>4851985</v>
      </c>
      <c r="E575" s="11">
        <v>4862716</v>
      </c>
      <c r="F575" s="12">
        <f t="shared" si="16"/>
        <v>10731</v>
      </c>
      <c r="M575" s="10"/>
      <c r="O575" s="13">
        <v>1986</v>
      </c>
    </row>
    <row r="576" spans="3:15" s="9" customFormat="1" ht="12.75">
      <c r="C576" s="9">
        <v>4851986</v>
      </c>
      <c r="E576" s="11">
        <v>4862717</v>
      </c>
      <c r="F576" s="12">
        <f t="shared" si="16"/>
        <v>10731</v>
      </c>
      <c r="K576" s="9">
        <f>986-15</f>
        <v>971</v>
      </c>
      <c r="L576" s="9">
        <v>33015</v>
      </c>
      <c r="M576" s="10">
        <v>1974</v>
      </c>
      <c r="N576" s="9" t="s">
        <v>96</v>
      </c>
      <c r="O576" s="10">
        <v>2008</v>
      </c>
    </row>
    <row r="577" spans="3:15" s="9" customFormat="1" ht="12.75">
      <c r="C577" s="9">
        <v>4851987</v>
      </c>
      <c r="E577" s="11">
        <v>4862718</v>
      </c>
      <c r="F577" s="12">
        <f t="shared" si="16"/>
        <v>10731</v>
      </c>
      <c r="K577" s="9">
        <v>971</v>
      </c>
      <c r="L577" s="9">
        <v>33016</v>
      </c>
      <c r="M577" s="10">
        <v>1974</v>
      </c>
      <c r="N577" s="9" t="s">
        <v>96</v>
      </c>
      <c r="O577" s="10">
        <v>2008</v>
      </c>
    </row>
    <row r="578" spans="3:15" s="9" customFormat="1" ht="12.75">
      <c r="C578" s="9">
        <v>4851990</v>
      </c>
      <c r="E578" s="11">
        <v>4862721</v>
      </c>
      <c r="F578" s="12">
        <f t="shared" si="16"/>
        <v>10731</v>
      </c>
      <c r="M578" s="10"/>
      <c r="O578" s="10">
        <v>2008</v>
      </c>
    </row>
    <row r="579" spans="3:15" s="9" customFormat="1" ht="12.75">
      <c r="C579" s="9">
        <v>4851993</v>
      </c>
      <c r="E579" s="11">
        <v>4862724</v>
      </c>
      <c r="F579" s="12">
        <f t="shared" si="16"/>
        <v>10731</v>
      </c>
      <c r="K579" s="9">
        <v>971</v>
      </c>
      <c r="L579" s="9">
        <v>33022</v>
      </c>
      <c r="M579" s="10">
        <v>1974</v>
      </c>
      <c r="N579" s="9" t="s">
        <v>96</v>
      </c>
      <c r="O579" s="10" t="s">
        <v>30</v>
      </c>
    </row>
    <row r="580" spans="3:15" s="9" customFormat="1" ht="12.75">
      <c r="C580" s="9">
        <v>4851994</v>
      </c>
      <c r="E580" s="11">
        <v>4862725</v>
      </c>
      <c r="F580" s="12">
        <f t="shared" si="16"/>
        <v>10731</v>
      </c>
      <c r="M580" s="10"/>
      <c r="O580" s="10" t="s">
        <v>75</v>
      </c>
    </row>
    <row r="581" spans="3:15" s="9" customFormat="1" ht="12.75">
      <c r="C581" s="9">
        <v>4851995</v>
      </c>
      <c r="E581" s="11">
        <v>4862726</v>
      </c>
      <c r="F581" s="12">
        <f t="shared" si="16"/>
        <v>10731</v>
      </c>
      <c r="M581" s="10">
        <v>1974</v>
      </c>
      <c r="N581" s="9" t="s">
        <v>171</v>
      </c>
      <c r="O581" s="10">
        <v>2005</v>
      </c>
    </row>
    <row r="582" spans="3:15" s="9" customFormat="1" ht="12.75">
      <c r="C582" s="9">
        <v>4852002</v>
      </c>
      <c r="E582" s="11">
        <v>4862733</v>
      </c>
      <c r="F582" s="12">
        <f t="shared" si="16"/>
        <v>10731</v>
      </c>
      <c r="K582" s="9">
        <v>971</v>
      </c>
      <c r="L582" s="9">
        <v>33031</v>
      </c>
      <c r="M582" s="10">
        <v>1974</v>
      </c>
      <c r="N582" s="9" t="s">
        <v>96</v>
      </c>
      <c r="O582" s="10" t="s">
        <v>30</v>
      </c>
    </row>
    <row r="583" spans="3:15" s="9" customFormat="1" ht="12.75">
      <c r="C583" s="9">
        <v>4852005</v>
      </c>
      <c r="E583" s="11">
        <v>4862736</v>
      </c>
      <c r="F583" s="12">
        <f t="shared" si="16"/>
        <v>10731</v>
      </c>
      <c r="M583" s="10">
        <v>1974</v>
      </c>
      <c r="N583" s="9" t="s">
        <v>96</v>
      </c>
      <c r="O583" s="10">
        <v>2008</v>
      </c>
    </row>
    <row r="584" spans="3:15" s="9" customFormat="1" ht="12.75">
      <c r="C584" s="10">
        <v>4852012</v>
      </c>
      <c r="E584" s="11">
        <v>4862743</v>
      </c>
      <c r="F584" s="12">
        <f t="shared" si="16"/>
        <v>10731</v>
      </c>
      <c r="K584" s="9">
        <v>971</v>
      </c>
      <c r="L584" s="9">
        <v>33041</v>
      </c>
      <c r="M584" s="10">
        <v>1974</v>
      </c>
      <c r="N584" s="9" t="s">
        <v>96</v>
      </c>
      <c r="O584" s="10" t="s">
        <v>30</v>
      </c>
    </row>
    <row r="585" spans="3:15" s="9" customFormat="1" ht="12.75">
      <c r="C585" s="9">
        <v>4852014</v>
      </c>
      <c r="E585" s="11">
        <v>4862745</v>
      </c>
      <c r="F585" s="12">
        <f t="shared" si="16"/>
        <v>10731</v>
      </c>
      <c r="K585" s="9">
        <f>1014-43</f>
        <v>971</v>
      </c>
      <c r="L585" s="9">
        <v>33043</v>
      </c>
      <c r="M585" s="13" t="s">
        <v>173</v>
      </c>
      <c r="N585" s="9" t="s">
        <v>96</v>
      </c>
      <c r="O585" s="10">
        <v>2008</v>
      </c>
    </row>
    <row r="586" spans="3:15" s="9" customFormat="1" ht="12.75">
      <c r="C586" s="198">
        <v>4852021</v>
      </c>
      <c r="E586" s="11">
        <v>4862752</v>
      </c>
      <c r="F586" s="200">
        <f t="shared" si="16"/>
        <v>10731</v>
      </c>
      <c r="M586" s="13" t="s">
        <v>173</v>
      </c>
      <c r="N586" s="198" t="s">
        <v>96</v>
      </c>
      <c r="O586" s="10">
        <v>2010</v>
      </c>
    </row>
    <row r="587" spans="3:15" s="9" customFormat="1" ht="12.75">
      <c r="C587" s="9">
        <v>4852023</v>
      </c>
      <c r="E587" s="53">
        <v>4862754</v>
      </c>
      <c r="F587" s="12">
        <f t="shared" si="16"/>
        <v>10731</v>
      </c>
      <c r="M587" s="10">
        <v>1974</v>
      </c>
      <c r="O587" s="10">
        <v>1995</v>
      </c>
    </row>
    <row r="588" spans="3:15" s="9" customFormat="1" ht="12.75">
      <c r="C588" s="9">
        <v>4852025</v>
      </c>
      <c r="E588" s="70">
        <v>4862756</v>
      </c>
      <c r="F588" s="12">
        <f t="shared" si="16"/>
        <v>10731</v>
      </c>
      <c r="M588" s="13" t="s">
        <v>173</v>
      </c>
      <c r="N588" s="9" t="s">
        <v>96</v>
      </c>
      <c r="O588" s="10">
        <v>2008</v>
      </c>
    </row>
    <row r="589" spans="3:15" s="9" customFormat="1" ht="12.75">
      <c r="C589" s="9">
        <v>4852027</v>
      </c>
      <c r="E589" s="70">
        <v>4862758</v>
      </c>
      <c r="F589" s="12">
        <f t="shared" si="16"/>
        <v>10731</v>
      </c>
      <c r="K589" s="9">
        <f>1027-56</f>
        <v>971</v>
      </c>
      <c r="L589" s="9">
        <v>33056</v>
      </c>
      <c r="M589" s="13">
        <v>1974</v>
      </c>
      <c r="N589" s="9" t="s">
        <v>96</v>
      </c>
      <c r="O589" s="10">
        <v>2009</v>
      </c>
    </row>
    <row r="590" spans="3:15" s="9" customFormat="1" ht="12.75">
      <c r="C590" s="9">
        <v>4852030</v>
      </c>
      <c r="E590" s="11">
        <v>4862761</v>
      </c>
      <c r="F590" s="12">
        <f t="shared" si="16"/>
        <v>10731</v>
      </c>
      <c r="M590" s="10"/>
      <c r="O590" s="10">
        <v>2006</v>
      </c>
    </row>
    <row r="591" spans="3:15" s="9" customFormat="1" ht="12.75">
      <c r="C591" s="9">
        <v>4852033</v>
      </c>
      <c r="E591" s="11">
        <v>4862764</v>
      </c>
      <c r="F591" s="12">
        <f t="shared" si="16"/>
        <v>10731</v>
      </c>
      <c r="K591" s="9">
        <f>1033-62</f>
        <v>971</v>
      </c>
      <c r="L591" s="9">
        <v>33062</v>
      </c>
      <c r="M591" s="10">
        <v>1974</v>
      </c>
      <c r="N591" s="9" t="s">
        <v>96</v>
      </c>
      <c r="O591" s="10">
        <v>2008</v>
      </c>
    </row>
    <row r="592" spans="3:15" s="9" customFormat="1" ht="12.75">
      <c r="C592" s="10" t="s">
        <v>24</v>
      </c>
      <c r="E592" s="11">
        <v>4862766</v>
      </c>
      <c r="F592" s="12"/>
      <c r="M592" s="13" t="s">
        <v>174</v>
      </c>
      <c r="N592" s="9" t="s">
        <v>171</v>
      </c>
      <c r="O592" s="10">
        <v>2008</v>
      </c>
    </row>
    <row r="593" spans="3:15" s="9" customFormat="1" ht="12.75">
      <c r="C593" s="10">
        <v>4852036</v>
      </c>
      <c r="E593" s="11">
        <v>4862767</v>
      </c>
      <c r="F593" s="12">
        <f aca="true" t="shared" si="17" ref="F593:F599">E593-C593</f>
        <v>10731</v>
      </c>
      <c r="K593" s="9">
        <f>1036-65</f>
        <v>971</v>
      </c>
      <c r="L593" s="9">
        <v>33065</v>
      </c>
      <c r="M593" s="13" t="s">
        <v>174</v>
      </c>
      <c r="N593" s="9" t="s">
        <v>171</v>
      </c>
      <c r="O593" s="10">
        <v>2008</v>
      </c>
    </row>
    <row r="594" spans="3:15" s="9" customFormat="1" ht="12.75">
      <c r="C594" s="9">
        <v>4852038</v>
      </c>
      <c r="E594" s="11">
        <v>4862769</v>
      </c>
      <c r="F594" s="12">
        <f t="shared" si="17"/>
        <v>10731</v>
      </c>
      <c r="M594" s="10">
        <v>1974</v>
      </c>
      <c r="N594" s="9" t="s">
        <v>96</v>
      </c>
      <c r="O594" s="10">
        <v>2008</v>
      </c>
    </row>
    <row r="595" spans="3:15" s="9" customFormat="1" ht="12.75">
      <c r="C595" s="9">
        <v>4852040</v>
      </c>
      <c r="E595" s="11">
        <v>4862771</v>
      </c>
      <c r="F595" s="12">
        <f t="shared" si="17"/>
        <v>10731</v>
      </c>
      <c r="M595" s="10"/>
      <c r="O595" s="10">
        <v>2008</v>
      </c>
    </row>
    <row r="596" spans="3:15" s="9" customFormat="1" ht="12.75">
      <c r="C596" s="9">
        <v>4852041</v>
      </c>
      <c r="E596" s="11">
        <v>4862772</v>
      </c>
      <c r="F596" s="12">
        <f t="shared" si="17"/>
        <v>10731</v>
      </c>
      <c r="K596" s="9">
        <f>1041-70</f>
        <v>971</v>
      </c>
      <c r="L596" s="9">
        <v>33070</v>
      </c>
      <c r="M596" s="10">
        <v>1974</v>
      </c>
      <c r="N596" s="9" t="s">
        <v>96</v>
      </c>
      <c r="O596" s="10">
        <v>2008</v>
      </c>
    </row>
    <row r="597" spans="3:15" s="9" customFormat="1" ht="12.75">
      <c r="C597" s="198">
        <v>4852042</v>
      </c>
      <c r="E597" s="11">
        <v>4862773</v>
      </c>
      <c r="F597" s="200">
        <f t="shared" si="17"/>
        <v>10731</v>
      </c>
      <c r="K597" s="9">
        <v>971</v>
      </c>
      <c r="L597" s="9">
        <v>33071</v>
      </c>
      <c r="M597" s="10">
        <v>1974</v>
      </c>
      <c r="N597" s="198" t="s">
        <v>96</v>
      </c>
      <c r="O597" s="10">
        <v>2009</v>
      </c>
    </row>
    <row r="598" spans="3:15" s="9" customFormat="1" ht="12.75">
      <c r="C598" s="9">
        <v>4852046</v>
      </c>
      <c r="E598" s="11">
        <v>4862777</v>
      </c>
      <c r="F598" s="12">
        <f t="shared" si="17"/>
        <v>10731</v>
      </c>
      <c r="K598" s="9">
        <v>971</v>
      </c>
      <c r="L598" s="9">
        <v>33075</v>
      </c>
      <c r="M598" s="10">
        <v>1974</v>
      </c>
      <c r="N598" s="9" t="s">
        <v>96</v>
      </c>
      <c r="O598" s="10">
        <v>2008</v>
      </c>
    </row>
    <row r="599" spans="3:15" s="2" customFormat="1" ht="13.5" thickBot="1">
      <c r="C599" s="2">
        <v>4852049</v>
      </c>
      <c r="E599" s="3">
        <v>4862780</v>
      </c>
      <c r="F599" s="4">
        <f t="shared" si="17"/>
        <v>10731</v>
      </c>
      <c r="M599" s="5" t="s">
        <v>174</v>
      </c>
      <c r="N599" s="2" t="s">
        <v>96</v>
      </c>
      <c r="O599" s="7">
        <v>1994</v>
      </c>
    </row>
    <row r="600" spans="1:15" s="9" customFormat="1" ht="12.75">
      <c r="A600" s="9" t="s">
        <v>3</v>
      </c>
      <c r="B600" s="16" t="s">
        <v>175</v>
      </c>
      <c r="D600" s="9">
        <v>4871928</v>
      </c>
      <c r="E600" s="61"/>
      <c r="G600" s="66"/>
      <c r="M600" s="10">
        <v>1974</v>
      </c>
      <c r="O600" s="10"/>
    </row>
    <row r="601" spans="2:15" s="9" customFormat="1" ht="12.75">
      <c r="B601" s="16"/>
      <c r="D601" s="9">
        <v>4871931</v>
      </c>
      <c r="E601" s="61"/>
      <c r="F601" s="12">
        <f aca="true" t="shared" si="18" ref="F601:F609">D601-G601</f>
        <v>2803</v>
      </c>
      <c r="G601" s="66">
        <v>4869128</v>
      </c>
      <c r="M601" s="10"/>
      <c r="O601" s="10" t="s">
        <v>164</v>
      </c>
    </row>
    <row r="602" spans="1:15" s="9" customFormat="1" ht="12.75">
      <c r="A602" s="39" t="s">
        <v>176</v>
      </c>
      <c r="B602" s="16"/>
      <c r="C602" s="9" t="s">
        <v>177</v>
      </c>
      <c r="D602" s="9">
        <v>4871932</v>
      </c>
      <c r="E602" s="61"/>
      <c r="F602" s="12">
        <f t="shared" si="18"/>
        <v>2803</v>
      </c>
      <c r="G602" s="66">
        <v>4869129</v>
      </c>
      <c r="M602" s="10">
        <v>1974</v>
      </c>
      <c r="N602" s="9" t="s">
        <v>178</v>
      </c>
      <c r="O602" s="10">
        <v>2009</v>
      </c>
    </row>
    <row r="603" spans="2:15" s="9" customFormat="1" ht="12.75">
      <c r="B603" s="16"/>
      <c r="C603" s="9" t="s">
        <v>177</v>
      </c>
      <c r="D603" s="9">
        <v>4871934</v>
      </c>
      <c r="E603" s="61"/>
      <c r="F603" s="12">
        <f t="shared" si="18"/>
        <v>2803</v>
      </c>
      <c r="G603" s="66">
        <v>4869131</v>
      </c>
      <c r="K603" s="9">
        <f>1934-951</f>
        <v>983</v>
      </c>
      <c r="L603" s="9">
        <v>133951</v>
      </c>
      <c r="M603" s="10">
        <v>1974</v>
      </c>
      <c r="N603" s="9" t="s">
        <v>178</v>
      </c>
      <c r="O603" s="10">
        <v>2009</v>
      </c>
    </row>
    <row r="604" spans="2:15" s="9" customFormat="1" ht="12.75">
      <c r="B604" s="16"/>
      <c r="C604" s="9" t="s">
        <v>177</v>
      </c>
      <c r="D604" s="9">
        <v>4871935</v>
      </c>
      <c r="E604" s="61"/>
      <c r="F604" s="12">
        <f t="shared" si="18"/>
        <v>2803</v>
      </c>
      <c r="G604" s="66">
        <v>4869132</v>
      </c>
      <c r="M604" s="10">
        <v>1974</v>
      </c>
      <c r="N604" s="9" t="s">
        <v>178</v>
      </c>
      <c r="O604" s="10">
        <v>2009</v>
      </c>
    </row>
    <row r="605" spans="2:15" s="9" customFormat="1" ht="12.75">
      <c r="B605" s="16"/>
      <c r="D605" s="9">
        <v>4871938</v>
      </c>
      <c r="E605" s="61"/>
      <c r="F605" s="12">
        <f t="shared" si="18"/>
        <v>2803</v>
      </c>
      <c r="G605" s="66">
        <v>4869135</v>
      </c>
      <c r="H605" s="16"/>
      <c r="I605" s="16"/>
      <c r="M605" s="10"/>
      <c r="O605" s="10" t="s">
        <v>164</v>
      </c>
    </row>
    <row r="606" spans="2:15" s="9" customFormat="1" ht="12.75">
      <c r="B606" s="16"/>
      <c r="C606" s="9" t="s">
        <v>177</v>
      </c>
      <c r="D606" s="9">
        <v>4871945</v>
      </c>
      <c r="E606" s="61"/>
      <c r="F606" s="12">
        <f t="shared" si="18"/>
        <v>2803</v>
      </c>
      <c r="G606" s="66">
        <v>4869142</v>
      </c>
      <c r="H606" s="16"/>
      <c r="I606" s="16"/>
      <c r="M606" s="10">
        <v>1974</v>
      </c>
      <c r="N606" s="9" t="s">
        <v>178</v>
      </c>
      <c r="O606" s="10">
        <v>2009</v>
      </c>
    </row>
    <row r="607" spans="2:15" s="9" customFormat="1" ht="12.75">
      <c r="B607" s="16"/>
      <c r="D607" s="9">
        <v>4871946</v>
      </c>
      <c r="E607" s="61"/>
      <c r="F607" s="12">
        <f t="shared" si="18"/>
        <v>2803</v>
      </c>
      <c r="G607" s="66">
        <v>4869143</v>
      </c>
      <c r="M607" s="10"/>
      <c r="O607" s="10" t="s">
        <v>164</v>
      </c>
    </row>
    <row r="608" spans="2:15" s="9" customFormat="1" ht="12.75">
      <c r="B608" s="16"/>
      <c r="C608" s="9" t="s">
        <v>177</v>
      </c>
      <c r="D608" s="9">
        <v>4871948</v>
      </c>
      <c r="E608" s="61"/>
      <c r="F608" s="12">
        <f t="shared" si="18"/>
        <v>2803</v>
      </c>
      <c r="G608" s="66">
        <v>4869145</v>
      </c>
      <c r="I608" s="9" t="s">
        <v>179</v>
      </c>
      <c r="K608" s="9">
        <f>948-139</f>
        <v>809</v>
      </c>
      <c r="L608" s="9">
        <v>134139</v>
      </c>
      <c r="M608" s="10">
        <v>1974</v>
      </c>
      <c r="N608" s="9" t="s">
        <v>178</v>
      </c>
      <c r="O608" s="10">
        <v>2009</v>
      </c>
    </row>
    <row r="609" spans="1:15" s="9" customFormat="1" ht="12.75">
      <c r="A609" s="9" t="s">
        <v>3</v>
      </c>
      <c r="B609" s="30">
        <v>711</v>
      </c>
      <c r="D609" s="9">
        <v>4871954</v>
      </c>
      <c r="E609" s="61"/>
      <c r="F609" s="12">
        <f t="shared" si="18"/>
        <v>2803</v>
      </c>
      <c r="G609" s="66">
        <v>4869151</v>
      </c>
      <c r="M609" s="10"/>
      <c r="O609" s="10" t="s">
        <v>116</v>
      </c>
    </row>
    <row r="610" spans="1:15" s="9" customFormat="1" ht="13.5" thickBot="1">
      <c r="A610" s="44" t="s">
        <v>180</v>
      </c>
      <c r="B610" s="15"/>
      <c r="C610" s="2"/>
      <c r="D610" s="44">
        <v>4871955</v>
      </c>
      <c r="E610" s="8"/>
      <c r="F610" s="2"/>
      <c r="G610" s="2"/>
      <c r="H610" s="2"/>
      <c r="I610" s="2"/>
      <c r="J610" s="2"/>
      <c r="K610" s="2"/>
      <c r="L610" s="2"/>
      <c r="M610" s="6"/>
      <c r="N610" s="2"/>
      <c r="O610" s="6"/>
    </row>
    <row r="611" spans="1:15" s="9" customFormat="1" ht="12.75">
      <c r="A611" s="9" t="s">
        <v>3</v>
      </c>
      <c r="B611" s="16" t="s">
        <v>181</v>
      </c>
      <c r="C611" s="146" t="s">
        <v>182</v>
      </c>
      <c r="D611" s="142">
        <v>4870455</v>
      </c>
      <c r="E611" s="147"/>
      <c r="F611" s="148"/>
      <c r="G611" s="142" t="s">
        <v>6</v>
      </c>
      <c r="H611" s="142" t="s">
        <v>4</v>
      </c>
      <c r="I611" s="142" t="s">
        <v>6</v>
      </c>
      <c r="J611" s="142" t="s">
        <v>7</v>
      </c>
      <c r="K611" s="148"/>
      <c r="L611" s="142">
        <v>33210</v>
      </c>
      <c r="M611" s="149"/>
      <c r="N611" s="148"/>
      <c r="O611" s="141" t="s">
        <v>20</v>
      </c>
    </row>
    <row r="612" spans="2:15" s="9" customFormat="1" ht="12.75">
      <c r="B612" s="16"/>
      <c r="D612" s="56">
        <v>4870456</v>
      </c>
      <c r="E612" s="60"/>
      <c r="F612" s="12"/>
      <c r="J612" s="82">
        <v>4871086</v>
      </c>
      <c r="L612" s="47"/>
      <c r="M612" s="10">
        <v>1974</v>
      </c>
      <c r="N612" s="9" t="s">
        <v>96</v>
      </c>
      <c r="O612" s="116" t="s">
        <v>51</v>
      </c>
    </row>
    <row r="613" spans="2:15" s="9" customFormat="1" ht="12.75">
      <c r="B613" s="16"/>
      <c r="D613" s="9">
        <v>4870460</v>
      </c>
      <c r="E613" s="60"/>
      <c r="F613" s="12"/>
      <c r="J613" s="82">
        <v>4871256</v>
      </c>
      <c r="K613" s="9">
        <f>460-215</f>
        <v>245</v>
      </c>
      <c r="L613" s="9">
        <v>33215</v>
      </c>
      <c r="M613" s="10">
        <v>1974</v>
      </c>
      <c r="N613" s="9" t="s">
        <v>96</v>
      </c>
      <c r="O613" s="116">
        <v>2007</v>
      </c>
    </row>
    <row r="614" spans="2:15" s="9" customFormat="1" ht="12.75">
      <c r="B614" s="16"/>
      <c r="D614" s="9">
        <v>4870461</v>
      </c>
      <c r="E614" s="60"/>
      <c r="F614" s="12"/>
      <c r="H614" s="92">
        <v>4863978</v>
      </c>
      <c r="J614" s="82"/>
      <c r="K614" s="9">
        <v>245</v>
      </c>
      <c r="L614" s="9">
        <v>33216</v>
      </c>
      <c r="M614" s="10">
        <v>1974</v>
      </c>
      <c r="N614" s="9" t="s">
        <v>96</v>
      </c>
      <c r="O614" s="116" t="s">
        <v>20</v>
      </c>
    </row>
    <row r="615" spans="2:15" s="9" customFormat="1" ht="12.75">
      <c r="B615" s="16"/>
      <c r="D615" s="9">
        <v>4870465</v>
      </c>
      <c r="E615" s="60"/>
      <c r="F615" s="12"/>
      <c r="G615" s="50"/>
      <c r="H615" s="9">
        <v>4863975</v>
      </c>
      <c r="I615" s="9">
        <v>4868733</v>
      </c>
      <c r="J615" s="39">
        <v>4871581</v>
      </c>
      <c r="K615" s="9">
        <v>245</v>
      </c>
      <c r="L615" s="9">
        <v>33220</v>
      </c>
      <c r="M615" s="10">
        <v>1974</v>
      </c>
      <c r="N615" s="9" t="s">
        <v>96</v>
      </c>
      <c r="O615" s="117" t="s">
        <v>30</v>
      </c>
    </row>
    <row r="616" spans="2:15" s="9" customFormat="1" ht="12.75">
      <c r="B616" s="16"/>
      <c r="D616" s="9">
        <v>4870467</v>
      </c>
      <c r="E616" s="60"/>
      <c r="F616" s="12"/>
      <c r="G616" s="50"/>
      <c r="J616" s="39">
        <v>4871328</v>
      </c>
      <c r="M616" s="10"/>
      <c r="O616" s="117" t="s">
        <v>30</v>
      </c>
    </row>
    <row r="617" spans="2:15" s="9" customFormat="1" ht="12.75">
      <c r="B617" s="16"/>
      <c r="D617" s="9">
        <v>4870476</v>
      </c>
      <c r="E617" s="60"/>
      <c r="F617" s="12"/>
      <c r="G617" s="50"/>
      <c r="J617" s="39">
        <v>4871514</v>
      </c>
      <c r="M617" s="10">
        <v>1974</v>
      </c>
      <c r="N617" s="9" t="s">
        <v>96</v>
      </c>
      <c r="O617" s="117" t="s">
        <v>51</v>
      </c>
    </row>
    <row r="618" spans="2:15" s="9" customFormat="1" ht="12.75">
      <c r="B618" s="16"/>
      <c r="D618" s="9">
        <v>4870488</v>
      </c>
      <c r="E618" s="60"/>
      <c r="F618" s="12"/>
      <c r="G618" s="50"/>
      <c r="J618" s="39">
        <v>4871223</v>
      </c>
      <c r="M618" s="10">
        <v>1974</v>
      </c>
      <c r="N618" s="9" t="s">
        <v>96</v>
      </c>
      <c r="O618" s="117" t="s">
        <v>30</v>
      </c>
    </row>
    <row r="619" spans="2:15" s="9" customFormat="1" ht="12.75">
      <c r="B619" s="16"/>
      <c r="D619" s="9">
        <v>4870489</v>
      </c>
      <c r="E619" s="60"/>
      <c r="F619" s="12"/>
      <c r="G619" s="50"/>
      <c r="J619" s="39">
        <v>4871211</v>
      </c>
      <c r="K619" s="9">
        <f>489-244</f>
        <v>245</v>
      </c>
      <c r="L619" s="9">
        <v>33244</v>
      </c>
      <c r="M619" s="10">
        <v>1974</v>
      </c>
      <c r="N619" s="9" t="s">
        <v>96</v>
      </c>
      <c r="O619" s="117" t="s">
        <v>51</v>
      </c>
    </row>
    <row r="620" spans="2:15" s="9" customFormat="1" ht="12.75">
      <c r="B620" s="16"/>
      <c r="D620" s="9">
        <v>4870491</v>
      </c>
      <c r="E620" s="60"/>
      <c r="F620" s="12"/>
      <c r="G620" s="50"/>
      <c r="J620" s="39">
        <v>4871480</v>
      </c>
      <c r="M620" s="10">
        <v>1974</v>
      </c>
      <c r="N620" s="9" t="s">
        <v>96</v>
      </c>
      <c r="O620" s="117" t="s">
        <v>51</v>
      </c>
    </row>
    <row r="621" spans="2:15" s="9" customFormat="1" ht="12.75">
      <c r="B621" s="16"/>
      <c r="D621" s="9">
        <v>4870496</v>
      </c>
      <c r="E621" s="60"/>
      <c r="F621" s="12"/>
      <c r="G621" s="50"/>
      <c r="J621" s="39">
        <v>4871109</v>
      </c>
      <c r="K621" s="9">
        <v>245</v>
      </c>
      <c r="L621" s="9">
        <v>33251</v>
      </c>
      <c r="M621" s="13" t="s">
        <v>183</v>
      </c>
      <c r="N621" s="9" t="s">
        <v>96</v>
      </c>
      <c r="O621" s="117">
        <v>2009</v>
      </c>
    </row>
    <row r="622" spans="2:15" s="9" customFormat="1" ht="12.75">
      <c r="B622" s="16"/>
      <c r="D622" s="9">
        <v>4870497</v>
      </c>
      <c r="E622" s="60"/>
      <c r="F622" s="12"/>
      <c r="G622" s="50"/>
      <c r="J622" s="39">
        <v>4871400</v>
      </c>
      <c r="K622" s="9">
        <f>497-252</f>
        <v>245</v>
      </c>
      <c r="L622" s="9">
        <v>33252</v>
      </c>
      <c r="M622" s="10">
        <v>1974</v>
      </c>
      <c r="N622" s="9" t="s">
        <v>96</v>
      </c>
      <c r="O622" s="117" t="s">
        <v>48</v>
      </c>
    </row>
    <row r="623" spans="3:15" s="9" customFormat="1" ht="12.75">
      <c r="C623" s="9" t="s">
        <v>184</v>
      </c>
      <c r="D623" s="9">
        <v>4870498</v>
      </c>
      <c r="E623" s="65"/>
      <c r="F623" s="12"/>
      <c r="G623" s="35"/>
      <c r="H623" s="77">
        <v>4863983</v>
      </c>
      <c r="I623" s="77"/>
      <c r="J623" s="77"/>
      <c r="K623" s="9">
        <v>245</v>
      </c>
      <c r="L623" s="9">
        <v>33253</v>
      </c>
      <c r="M623" s="13" t="s">
        <v>183</v>
      </c>
      <c r="N623" s="9" t="s">
        <v>171</v>
      </c>
      <c r="O623" s="10">
        <v>2008</v>
      </c>
    </row>
    <row r="624" spans="4:15" s="9" customFormat="1" ht="12.75">
      <c r="D624" s="9">
        <v>4870499</v>
      </c>
      <c r="E624" s="65"/>
      <c r="F624" s="12"/>
      <c r="H624" s="77"/>
      <c r="I624" s="77"/>
      <c r="J624" s="77">
        <v>4871322</v>
      </c>
      <c r="M624" s="13"/>
      <c r="O624" s="10" t="s">
        <v>164</v>
      </c>
    </row>
    <row r="625" spans="4:15" s="9" customFormat="1" ht="12.75">
      <c r="D625" s="198">
        <v>4870500</v>
      </c>
      <c r="E625" s="65"/>
      <c r="F625" s="12"/>
      <c r="H625" s="77"/>
      <c r="I625" s="77"/>
      <c r="J625" s="77">
        <v>4871194</v>
      </c>
      <c r="K625" s="9">
        <v>245</v>
      </c>
      <c r="L625" s="198">
        <v>33255</v>
      </c>
      <c r="M625" s="13" t="s">
        <v>183</v>
      </c>
      <c r="N625" s="198" t="s">
        <v>96</v>
      </c>
      <c r="O625" s="10">
        <v>2009</v>
      </c>
    </row>
    <row r="626" spans="4:15" s="9" customFormat="1" ht="12.75">
      <c r="D626" s="9">
        <v>4870502</v>
      </c>
      <c r="E626" s="65"/>
      <c r="F626" s="12"/>
      <c r="H626" s="77"/>
      <c r="I626" s="77"/>
      <c r="J626" s="77">
        <v>4871408</v>
      </c>
      <c r="M626" s="13">
        <v>1974</v>
      </c>
      <c r="O626" s="10">
        <v>2009</v>
      </c>
    </row>
    <row r="627" spans="1:15" s="9" customFormat="1" ht="12.75">
      <c r="A627" s="11" t="s">
        <v>185</v>
      </c>
      <c r="D627" s="9">
        <v>4870503</v>
      </c>
      <c r="E627" s="60"/>
      <c r="F627" s="12"/>
      <c r="G627" s="11"/>
      <c r="J627" s="66">
        <v>4871156</v>
      </c>
      <c r="K627" s="9">
        <f>503-258</f>
        <v>245</v>
      </c>
      <c r="L627" s="9">
        <v>33258</v>
      </c>
      <c r="M627" s="10">
        <v>1974</v>
      </c>
      <c r="N627" s="9" t="s">
        <v>96</v>
      </c>
      <c r="O627" s="10">
        <v>2007</v>
      </c>
    </row>
    <row r="628" spans="1:15" s="9" customFormat="1" ht="12.75">
      <c r="A628" s="11"/>
      <c r="D628" s="9">
        <v>4870504</v>
      </c>
      <c r="E628" s="60"/>
      <c r="F628" s="12"/>
      <c r="G628" s="11"/>
      <c r="J628" s="66">
        <v>4871285</v>
      </c>
      <c r="K628" s="9">
        <v>245</v>
      </c>
      <c r="L628" s="9">
        <v>33259</v>
      </c>
      <c r="M628" s="10">
        <v>1974</v>
      </c>
      <c r="N628" s="9" t="s">
        <v>96</v>
      </c>
      <c r="O628" s="10">
        <v>2009</v>
      </c>
    </row>
    <row r="629" spans="1:15" s="9" customFormat="1" ht="12.75">
      <c r="A629" s="11"/>
      <c r="D629" s="9">
        <v>4870505</v>
      </c>
      <c r="E629" s="60"/>
      <c r="F629" s="12"/>
      <c r="G629" s="56"/>
      <c r="H629" s="9">
        <v>4863973</v>
      </c>
      <c r="I629" s="9">
        <v>4868705</v>
      </c>
      <c r="J629" s="66">
        <v>4871614</v>
      </c>
      <c r="K629" s="9">
        <v>245</v>
      </c>
      <c r="L629" s="9">
        <v>33260</v>
      </c>
      <c r="M629" s="10">
        <v>1974</v>
      </c>
      <c r="N629" s="9" t="s">
        <v>96</v>
      </c>
      <c r="O629" s="10" t="s">
        <v>30</v>
      </c>
    </row>
    <row r="630" spans="1:15" s="9" customFormat="1" ht="12.75">
      <c r="A630" s="11"/>
      <c r="D630" s="9">
        <v>4870507</v>
      </c>
      <c r="E630" s="60"/>
      <c r="F630" s="12"/>
      <c r="G630" s="11"/>
      <c r="J630" s="66">
        <v>4871075</v>
      </c>
      <c r="K630" s="9">
        <f>507-262</f>
        <v>245</v>
      </c>
      <c r="L630" s="9">
        <v>33262</v>
      </c>
      <c r="M630" s="10">
        <v>1974</v>
      </c>
      <c r="N630" s="9" t="s">
        <v>96</v>
      </c>
      <c r="O630" s="10" t="s">
        <v>48</v>
      </c>
    </row>
    <row r="631" spans="1:15" s="9" customFormat="1" ht="12.75">
      <c r="A631" s="11"/>
      <c r="D631" s="9">
        <v>4870511</v>
      </c>
      <c r="E631" s="60"/>
      <c r="F631" s="12"/>
      <c r="G631" s="11"/>
      <c r="J631" s="66">
        <v>4871175</v>
      </c>
      <c r="K631" s="9">
        <v>245</v>
      </c>
      <c r="L631" s="9">
        <v>33266</v>
      </c>
      <c r="M631" s="10">
        <v>1974</v>
      </c>
      <c r="N631" s="9" t="s">
        <v>96</v>
      </c>
      <c r="O631" s="10" t="s">
        <v>51</v>
      </c>
    </row>
    <row r="632" spans="1:15" s="9" customFormat="1" ht="12.75">
      <c r="A632" s="11"/>
      <c r="D632" s="9">
        <v>4870515</v>
      </c>
      <c r="E632" s="60"/>
      <c r="F632" s="12"/>
      <c r="G632" s="11"/>
      <c r="J632" s="66">
        <v>4871296</v>
      </c>
      <c r="K632" s="9">
        <v>245</v>
      </c>
      <c r="L632" s="9">
        <v>33270</v>
      </c>
      <c r="M632" s="10">
        <v>1974</v>
      </c>
      <c r="N632" s="9" t="s">
        <v>96</v>
      </c>
      <c r="O632" s="10" t="s">
        <v>51</v>
      </c>
    </row>
    <row r="633" spans="1:15" s="9" customFormat="1" ht="12.75">
      <c r="A633" s="11"/>
      <c r="D633" s="9">
        <v>4870520</v>
      </c>
      <c r="E633" s="60"/>
      <c r="F633" s="12"/>
      <c r="G633" s="11"/>
      <c r="J633" s="66">
        <v>4871374</v>
      </c>
      <c r="M633" s="10"/>
      <c r="O633" s="10" t="s">
        <v>164</v>
      </c>
    </row>
    <row r="634" spans="1:15" s="9" customFormat="1" ht="12.75">
      <c r="A634" s="11"/>
      <c r="D634" s="9">
        <v>4870521</v>
      </c>
      <c r="E634" s="60"/>
      <c r="F634" s="12"/>
      <c r="G634" s="11"/>
      <c r="J634" s="66">
        <v>4871273</v>
      </c>
      <c r="M634" s="10"/>
      <c r="O634" s="10">
        <v>2009</v>
      </c>
    </row>
    <row r="635" spans="1:15" s="9" customFormat="1" ht="12.75">
      <c r="A635" s="11"/>
      <c r="D635" s="9">
        <v>4870522</v>
      </c>
      <c r="E635" s="60"/>
      <c r="F635" s="12"/>
      <c r="G635" s="11"/>
      <c r="J635" s="66">
        <v>4871377</v>
      </c>
      <c r="M635" s="10"/>
      <c r="O635" s="10" t="s">
        <v>48</v>
      </c>
    </row>
    <row r="636" spans="1:15" s="9" customFormat="1" ht="12.75">
      <c r="A636" s="11"/>
      <c r="D636" s="9">
        <v>4870526</v>
      </c>
      <c r="E636" s="60"/>
      <c r="F636" s="12"/>
      <c r="G636" s="11"/>
      <c r="H636" s="9">
        <v>4863947</v>
      </c>
      <c r="I636" s="92">
        <v>4868734</v>
      </c>
      <c r="J636" s="66"/>
      <c r="K636" s="9">
        <v>245</v>
      </c>
      <c r="L636" s="9">
        <v>33281</v>
      </c>
      <c r="M636" s="10">
        <v>1974</v>
      </c>
      <c r="N636" s="9" t="s">
        <v>96</v>
      </c>
      <c r="O636" s="10" t="s">
        <v>20</v>
      </c>
    </row>
    <row r="637" spans="1:15" s="9" customFormat="1" ht="12.75">
      <c r="A637" s="11"/>
      <c r="D637" s="9">
        <v>4870528</v>
      </c>
      <c r="E637" s="60"/>
      <c r="F637" s="12"/>
      <c r="G637" s="11"/>
      <c r="H637" s="92">
        <v>4863920</v>
      </c>
      <c r="J637" s="66"/>
      <c r="K637" s="9">
        <v>245</v>
      </c>
      <c r="L637" s="9">
        <v>33283</v>
      </c>
      <c r="M637" s="10">
        <v>1974</v>
      </c>
      <c r="N637" s="9" t="s">
        <v>96</v>
      </c>
      <c r="O637" s="10" t="s">
        <v>20</v>
      </c>
    </row>
    <row r="638" spans="4:15" s="9" customFormat="1" ht="12.75">
      <c r="D638" s="9">
        <v>4870533</v>
      </c>
      <c r="E638" s="60"/>
      <c r="F638" s="12"/>
      <c r="G638" s="35"/>
      <c r="H638" s="11">
        <v>4864936</v>
      </c>
      <c r="I638" s="11"/>
      <c r="J638" s="11"/>
      <c r="K638" s="9">
        <f>533-288</f>
        <v>245</v>
      </c>
      <c r="L638" s="9">
        <v>33288</v>
      </c>
      <c r="M638" s="10">
        <v>1974</v>
      </c>
      <c r="N638" s="9" t="s">
        <v>96</v>
      </c>
      <c r="O638" s="10">
        <v>2006</v>
      </c>
    </row>
    <row r="639" spans="4:15" s="9" customFormat="1" ht="12.75">
      <c r="D639" s="9">
        <v>4870534</v>
      </c>
      <c r="E639" s="60"/>
      <c r="F639" s="12"/>
      <c r="H639" s="11"/>
      <c r="I639" s="11"/>
      <c r="J639" s="11">
        <v>4871129</v>
      </c>
      <c r="M639" s="10"/>
      <c r="O639" s="10" t="s">
        <v>164</v>
      </c>
    </row>
    <row r="640" spans="4:15" s="9" customFormat="1" ht="12.75">
      <c r="D640" s="9">
        <v>4870535</v>
      </c>
      <c r="E640" s="60"/>
      <c r="F640" s="12"/>
      <c r="H640" s="11">
        <v>4863914</v>
      </c>
      <c r="I640" s="11"/>
      <c r="J640" s="11"/>
      <c r="K640" s="9">
        <f>535-290</f>
        <v>245</v>
      </c>
      <c r="L640" s="9">
        <v>33290</v>
      </c>
      <c r="M640" s="10">
        <v>1974</v>
      </c>
      <c r="N640" s="9" t="s">
        <v>96</v>
      </c>
      <c r="O640" s="10" t="s">
        <v>20</v>
      </c>
    </row>
    <row r="641" spans="4:15" s="9" customFormat="1" ht="12.75">
      <c r="D641" s="198">
        <v>4870536</v>
      </c>
      <c r="E641" s="60"/>
      <c r="F641" s="12"/>
      <c r="H641" s="11"/>
      <c r="I641" s="11"/>
      <c r="J641" s="11">
        <v>4871548</v>
      </c>
      <c r="K641" s="9">
        <v>245</v>
      </c>
      <c r="L641" s="198">
        <v>33291</v>
      </c>
      <c r="M641" s="10">
        <v>1974</v>
      </c>
      <c r="N641" s="198" t="s">
        <v>96</v>
      </c>
      <c r="O641" s="10">
        <v>2011</v>
      </c>
    </row>
    <row r="642" spans="4:15" s="9" customFormat="1" ht="12.75">
      <c r="D642" s="9">
        <v>4870537</v>
      </c>
      <c r="E642" s="60"/>
      <c r="F642" s="12"/>
      <c r="H642" s="11"/>
      <c r="I642" s="11"/>
      <c r="J642" s="11">
        <v>4871022</v>
      </c>
      <c r="M642" s="13" t="s">
        <v>186</v>
      </c>
      <c r="N642" s="9" t="s">
        <v>96</v>
      </c>
      <c r="O642" s="10">
        <v>2009</v>
      </c>
    </row>
    <row r="643" spans="4:15" s="9" customFormat="1" ht="12.75">
      <c r="D643" s="9">
        <v>4870540</v>
      </c>
      <c r="E643" s="60"/>
      <c r="F643" s="12"/>
      <c r="H643" s="89">
        <v>4863942</v>
      </c>
      <c r="I643" s="89">
        <v>4868711</v>
      </c>
      <c r="J643" s="11">
        <v>4871535</v>
      </c>
      <c r="K643" s="9">
        <v>245</v>
      </c>
      <c r="L643" s="9">
        <v>33295</v>
      </c>
      <c r="M643" s="10">
        <v>1974</v>
      </c>
      <c r="N643" s="9" t="s">
        <v>96</v>
      </c>
      <c r="O643" s="10" t="s">
        <v>20</v>
      </c>
    </row>
    <row r="644" spans="4:15" s="9" customFormat="1" ht="12.75">
      <c r="D644" s="9">
        <v>4870541</v>
      </c>
      <c r="E644" s="60"/>
      <c r="F644" s="12"/>
      <c r="H644" s="11"/>
      <c r="I644" s="11"/>
      <c r="J644" s="11">
        <v>4871593</v>
      </c>
      <c r="M644" s="10">
        <v>1974</v>
      </c>
      <c r="N644" s="9" t="s">
        <v>96</v>
      </c>
      <c r="O644" s="10" t="s">
        <v>51</v>
      </c>
    </row>
    <row r="645" spans="4:15" s="9" customFormat="1" ht="12.75">
      <c r="D645" s="9">
        <v>4870546</v>
      </c>
      <c r="E645" s="60"/>
      <c r="F645" s="12"/>
      <c r="H645" s="89">
        <v>4863952</v>
      </c>
      <c r="I645" s="11">
        <v>4868720</v>
      </c>
      <c r="J645" s="11"/>
      <c r="K645" s="9">
        <v>245</v>
      </c>
      <c r="L645" s="9">
        <v>33301</v>
      </c>
      <c r="M645" s="10">
        <v>1974</v>
      </c>
      <c r="N645" s="9" t="s">
        <v>96</v>
      </c>
      <c r="O645" s="10" t="s">
        <v>20</v>
      </c>
    </row>
    <row r="646" spans="4:15" s="9" customFormat="1" ht="12.75">
      <c r="D646" s="9">
        <v>4870551</v>
      </c>
      <c r="E646" s="60"/>
      <c r="F646" s="12"/>
      <c r="H646" s="11"/>
      <c r="I646" s="11"/>
      <c r="J646" s="11">
        <v>4871133</v>
      </c>
      <c r="K646" s="9">
        <f>551-306</f>
        <v>245</v>
      </c>
      <c r="L646" s="9">
        <v>33306</v>
      </c>
      <c r="M646" s="10">
        <v>1974</v>
      </c>
      <c r="N646" s="9" t="s">
        <v>96</v>
      </c>
      <c r="O646" s="10">
        <v>2007</v>
      </c>
    </row>
    <row r="647" spans="4:15" s="9" customFormat="1" ht="12.75">
      <c r="D647" s="9">
        <v>4870553</v>
      </c>
      <c r="E647" s="60"/>
      <c r="F647" s="12"/>
      <c r="H647" s="11"/>
      <c r="I647" s="11"/>
      <c r="J647" s="11">
        <v>4871204</v>
      </c>
      <c r="K647" s="9">
        <v>245</v>
      </c>
      <c r="L647" s="9">
        <v>33308</v>
      </c>
      <c r="M647" s="10">
        <v>1974</v>
      </c>
      <c r="N647" s="9" t="s">
        <v>96</v>
      </c>
      <c r="O647" s="10" t="s">
        <v>51</v>
      </c>
    </row>
    <row r="648" spans="4:15" s="9" customFormat="1" ht="12.75">
      <c r="D648" s="9">
        <v>4870556</v>
      </c>
      <c r="E648" s="60"/>
      <c r="F648" s="12"/>
      <c r="H648" s="11">
        <v>4863945</v>
      </c>
      <c r="I648" s="11"/>
      <c r="J648" s="11"/>
      <c r="K648" s="9">
        <v>245</v>
      </c>
      <c r="L648" s="9">
        <v>33311</v>
      </c>
      <c r="M648" s="10">
        <v>1974</v>
      </c>
      <c r="N648" s="9" t="s">
        <v>96</v>
      </c>
      <c r="O648" s="10" t="s">
        <v>20</v>
      </c>
    </row>
    <row r="649" spans="4:15" s="9" customFormat="1" ht="12.75">
      <c r="D649" s="9">
        <v>4870558</v>
      </c>
      <c r="E649" s="60"/>
      <c r="F649" s="12"/>
      <c r="H649" s="11"/>
      <c r="I649" s="11"/>
      <c r="J649" s="11">
        <v>4871111</v>
      </c>
      <c r="M649" s="10">
        <v>1974</v>
      </c>
      <c r="N649" s="9" t="s">
        <v>96</v>
      </c>
      <c r="O649" s="10" t="s">
        <v>51</v>
      </c>
    </row>
    <row r="650" spans="4:15" s="9" customFormat="1" ht="12.75">
      <c r="D650" s="9">
        <v>4870560</v>
      </c>
      <c r="E650" s="60"/>
      <c r="F650" s="12"/>
      <c r="H650" s="11"/>
      <c r="I650" s="11"/>
      <c r="J650" s="11">
        <v>4871295</v>
      </c>
      <c r="K650" s="9">
        <v>245</v>
      </c>
      <c r="L650" s="9">
        <v>33315</v>
      </c>
      <c r="M650" s="10">
        <v>1974</v>
      </c>
      <c r="N650" s="9" t="s">
        <v>96</v>
      </c>
      <c r="O650" s="10" t="s">
        <v>48</v>
      </c>
    </row>
    <row r="651" spans="4:15" s="9" customFormat="1" ht="12.75">
      <c r="D651" s="9">
        <v>4870562</v>
      </c>
      <c r="E651" s="60"/>
      <c r="F651" s="12"/>
      <c r="H651" s="262" t="s">
        <v>187</v>
      </c>
      <c r="I651" s="262" t="s">
        <v>188</v>
      </c>
      <c r="J651" s="11">
        <v>4871532</v>
      </c>
      <c r="K651" s="9">
        <v>245</v>
      </c>
      <c r="L651" s="9">
        <v>33317</v>
      </c>
      <c r="M651" s="10">
        <v>1974</v>
      </c>
      <c r="N651" s="9" t="s">
        <v>96</v>
      </c>
      <c r="O651" s="10" t="s">
        <v>30</v>
      </c>
    </row>
    <row r="652" spans="4:15" s="9" customFormat="1" ht="12.75">
      <c r="D652" s="9">
        <v>4870563</v>
      </c>
      <c r="E652" s="60"/>
      <c r="F652" s="12"/>
      <c r="H652" s="11"/>
      <c r="I652" s="11"/>
      <c r="J652" s="11">
        <v>4871666</v>
      </c>
      <c r="M652" s="10"/>
      <c r="O652" s="10">
        <v>2009</v>
      </c>
    </row>
    <row r="653" spans="4:15" s="9" customFormat="1" ht="12.75">
      <c r="D653" s="9">
        <v>4870564</v>
      </c>
      <c r="E653" s="60"/>
      <c r="F653" s="12"/>
      <c r="H653" s="11"/>
      <c r="I653" s="11"/>
      <c r="J653" s="11">
        <v>4871357</v>
      </c>
      <c r="M653" s="10"/>
      <c r="O653" s="10" t="s">
        <v>164</v>
      </c>
    </row>
    <row r="654" spans="4:15" s="9" customFormat="1" ht="12.75">
      <c r="D654" s="9">
        <v>4870568</v>
      </c>
      <c r="E654" s="60"/>
      <c r="F654" s="12"/>
      <c r="H654" s="11"/>
      <c r="I654" s="11"/>
      <c r="J654" s="11">
        <v>4871191</v>
      </c>
      <c r="M654" s="10"/>
      <c r="O654" s="10" t="s">
        <v>164</v>
      </c>
    </row>
    <row r="655" spans="4:15" s="9" customFormat="1" ht="12.75">
      <c r="D655" s="9">
        <v>4870570</v>
      </c>
      <c r="E655" s="60"/>
      <c r="F655" s="12"/>
      <c r="H655" s="11"/>
      <c r="I655" s="11"/>
      <c r="J655" s="11">
        <v>4871043</v>
      </c>
      <c r="M655" s="10"/>
      <c r="O655" s="10" t="s">
        <v>30</v>
      </c>
    </row>
    <row r="656" spans="4:15" s="9" customFormat="1" ht="12.75">
      <c r="D656" s="9">
        <v>4870571</v>
      </c>
      <c r="E656" s="60"/>
      <c r="F656" s="12"/>
      <c r="G656" s="182">
        <v>4870970</v>
      </c>
      <c r="H656" s="11"/>
      <c r="I656" s="11"/>
      <c r="J656" s="11"/>
      <c r="M656" s="10"/>
      <c r="O656" s="10" t="s">
        <v>164</v>
      </c>
    </row>
    <row r="657" spans="4:15" s="9" customFormat="1" ht="12.75">
      <c r="D657" s="9">
        <v>4870578</v>
      </c>
      <c r="E657" s="60"/>
      <c r="F657" s="12"/>
      <c r="H657" s="11"/>
      <c r="I657" s="11"/>
      <c r="J657" s="11">
        <v>4871382</v>
      </c>
      <c r="M657" s="10">
        <v>1974</v>
      </c>
      <c r="N657" s="9" t="s">
        <v>96</v>
      </c>
      <c r="O657" s="10" t="s">
        <v>51</v>
      </c>
    </row>
    <row r="658" spans="4:15" s="9" customFormat="1" ht="12.75">
      <c r="D658" s="9">
        <v>4870579</v>
      </c>
      <c r="E658" s="60"/>
      <c r="F658" s="12"/>
      <c r="H658" s="89">
        <v>4863929</v>
      </c>
      <c r="I658" s="11">
        <v>4868702</v>
      </c>
      <c r="J658" s="11"/>
      <c r="K658" s="9">
        <f>579-334</f>
        <v>245</v>
      </c>
      <c r="L658" s="9">
        <v>33334</v>
      </c>
      <c r="M658" s="10">
        <v>1974</v>
      </c>
      <c r="N658" s="9" t="s">
        <v>96</v>
      </c>
      <c r="O658" s="10" t="s">
        <v>20</v>
      </c>
    </row>
    <row r="659" spans="4:15" s="9" customFormat="1" ht="12.75">
      <c r="D659" s="9">
        <v>4870580</v>
      </c>
      <c r="E659" s="60"/>
      <c r="F659" s="12"/>
      <c r="H659" s="11"/>
      <c r="I659" s="11"/>
      <c r="J659" s="11">
        <v>4871566</v>
      </c>
      <c r="M659" s="10">
        <v>1974</v>
      </c>
      <c r="N659" s="9" t="s">
        <v>96</v>
      </c>
      <c r="O659" s="10" t="s">
        <v>30</v>
      </c>
    </row>
    <row r="660" spans="4:15" s="9" customFormat="1" ht="12.75">
      <c r="D660" s="9">
        <v>4870582</v>
      </c>
      <c r="E660" s="60"/>
      <c r="F660" s="12"/>
      <c r="H660" s="11"/>
      <c r="I660" s="11"/>
      <c r="J660" s="11">
        <v>4871255</v>
      </c>
      <c r="M660" s="10">
        <v>1974</v>
      </c>
      <c r="N660" s="9" t="s">
        <v>96</v>
      </c>
      <c r="O660" s="10" t="s">
        <v>48</v>
      </c>
    </row>
    <row r="661" spans="3:15" s="9" customFormat="1" ht="12.75">
      <c r="C661" s="9" t="s">
        <v>166</v>
      </c>
      <c r="D661" s="9">
        <v>4870584</v>
      </c>
      <c r="E661" s="60"/>
      <c r="F661" s="12"/>
      <c r="H661" s="11"/>
      <c r="I661" s="11"/>
      <c r="J661" s="11">
        <v>4871669</v>
      </c>
      <c r="M661" s="10"/>
      <c r="O661" s="10">
        <v>2009</v>
      </c>
    </row>
    <row r="662" spans="4:15" s="9" customFormat="1" ht="12.75">
      <c r="D662" s="9">
        <v>4870587</v>
      </c>
      <c r="E662" s="60"/>
      <c r="F662" s="12"/>
      <c r="H662" s="89">
        <v>4863967</v>
      </c>
      <c r="I662" s="11">
        <v>4868710</v>
      </c>
      <c r="J662" s="11"/>
      <c r="K662" s="9">
        <f>587-342</f>
        <v>245</v>
      </c>
      <c r="L662" s="9">
        <v>33342</v>
      </c>
      <c r="M662" s="10">
        <v>1974</v>
      </c>
      <c r="N662" s="9" t="s">
        <v>96</v>
      </c>
      <c r="O662" s="10" t="s">
        <v>20</v>
      </c>
    </row>
    <row r="663" spans="4:15" s="9" customFormat="1" ht="12.75">
      <c r="D663" s="9">
        <v>4870589</v>
      </c>
      <c r="E663" s="60"/>
      <c r="F663" s="12"/>
      <c r="G663" s="82"/>
      <c r="H663" s="11">
        <v>4863986</v>
      </c>
      <c r="I663" s="11"/>
      <c r="J663" s="11"/>
      <c r="K663" s="9">
        <v>245</v>
      </c>
      <c r="L663" s="9">
        <v>33344</v>
      </c>
      <c r="M663" s="10">
        <v>1974</v>
      </c>
      <c r="N663" s="9" t="s">
        <v>96</v>
      </c>
      <c r="O663" s="10" t="s">
        <v>51</v>
      </c>
    </row>
    <row r="664" spans="4:15" s="9" customFormat="1" ht="12.75">
      <c r="D664" s="9">
        <v>4870593</v>
      </c>
      <c r="E664" s="60"/>
      <c r="F664" s="12"/>
      <c r="G664" s="82">
        <v>4870973</v>
      </c>
      <c r="H664" s="11"/>
      <c r="I664" s="11"/>
      <c r="J664" s="11"/>
      <c r="M664" s="10"/>
      <c r="O664" s="10" t="s">
        <v>20</v>
      </c>
    </row>
    <row r="665" spans="3:15" s="9" customFormat="1" ht="12.75">
      <c r="C665" s="9" t="s">
        <v>166</v>
      </c>
      <c r="D665" s="9">
        <v>4870599</v>
      </c>
      <c r="E665" s="60"/>
      <c r="F665" s="12"/>
      <c r="G665" s="82"/>
      <c r="H665" s="11"/>
      <c r="I665" s="11"/>
      <c r="J665" s="11">
        <v>4871419</v>
      </c>
      <c r="K665" s="9">
        <v>245</v>
      </c>
      <c r="L665" s="9">
        <v>33354</v>
      </c>
      <c r="M665" s="10">
        <v>1974</v>
      </c>
      <c r="N665" s="9" t="s">
        <v>96</v>
      </c>
      <c r="O665" s="10">
        <v>2009</v>
      </c>
    </row>
    <row r="666" spans="4:15" s="9" customFormat="1" ht="12.75">
      <c r="D666" s="9">
        <v>4870604</v>
      </c>
      <c r="E666" s="60"/>
      <c r="F666" s="12"/>
      <c r="H666" s="11"/>
      <c r="I666" s="11"/>
      <c r="J666" s="11">
        <v>4871515</v>
      </c>
      <c r="M666" s="10">
        <v>1974</v>
      </c>
      <c r="N666" s="9" t="s">
        <v>96</v>
      </c>
      <c r="O666" s="10" t="s">
        <v>51</v>
      </c>
    </row>
    <row r="667" spans="4:15" s="9" customFormat="1" ht="12.75">
      <c r="D667" s="9">
        <v>4870605</v>
      </c>
      <c r="E667" s="60"/>
      <c r="F667" s="12"/>
      <c r="H667" s="11"/>
      <c r="I667" s="11"/>
      <c r="J667" s="11">
        <v>4871590</v>
      </c>
      <c r="K667" s="9">
        <f>605-360</f>
        <v>245</v>
      </c>
      <c r="L667" s="9">
        <v>33360</v>
      </c>
      <c r="M667" s="10">
        <v>1974</v>
      </c>
      <c r="N667" s="9" t="s">
        <v>96</v>
      </c>
      <c r="O667" s="10">
        <v>2009</v>
      </c>
    </row>
    <row r="668" spans="4:15" s="9" customFormat="1" ht="12.75">
      <c r="D668" s="9">
        <v>4870606</v>
      </c>
      <c r="E668" s="60"/>
      <c r="F668" s="12"/>
      <c r="H668" s="11"/>
      <c r="I668" s="11"/>
      <c r="J668" s="11">
        <v>4871141</v>
      </c>
      <c r="M668" s="10"/>
      <c r="O668" s="10" t="s">
        <v>164</v>
      </c>
    </row>
    <row r="669" spans="4:15" s="9" customFormat="1" ht="12.75">
      <c r="D669" s="9">
        <v>4870611</v>
      </c>
      <c r="E669" s="60"/>
      <c r="F669" s="12"/>
      <c r="H669" s="11"/>
      <c r="I669" s="11"/>
      <c r="J669" s="11">
        <v>4871398</v>
      </c>
      <c r="M669" s="10"/>
      <c r="O669" s="10">
        <v>2009</v>
      </c>
    </row>
    <row r="670" spans="4:15" s="9" customFormat="1" ht="12.75">
      <c r="D670" s="9">
        <v>4870616</v>
      </c>
      <c r="E670" s="60"/>
      <c r="F670" s="12"/>
      <c r="H670" s="11"/>
      <c r="I670" s="11"/>
      <c r="J670" s="11">
        <v>4871233</v>
      </c>
      <c r="K670" s="9">
        <v>245</v>
      </c>
      <c r="L670" s="9">
        <v>33371</v>
      </c>
      <c r="M670" s="10">
        <v>1974</v>
      </c>
      <c r="N670" s="9" t="s">
        <v>96</v>
      </c>
      <c r="O670" s="10">
        <v>2009</v>
      </c>
    </row>
    <row r="671" spans="4:15" s="9" customFormat="1" ht="12.75">
      <c r="D671" s="9">
        <v>4870617</v>
      </c>
      <c r="E671" s="60"/>
      <c r="F671" s="12"/>
      <c r="H671" s="89">
        <v>4863912</v>
      </c>
      <c r="I671" s="11">
        <v>4868739</v>
      </c>
      <c r="J671" s="11"/>
      <c r="K671" s="9">
        <f>617-372</f>
        <v>245</v>
      </c>
      <c r="L671" s="9">
        <v>33372</v>
      </c>
      <c r="M671" s="10">
        <v>1974</v>
      </c>
      <c r="N671" s="9" t="s">
        <v>96</v>
      </c>
      <c r="O671" s="10" t="s">
        <v>20</v>
      </c>
    </row>
    <row r="672" spans="4:15" s="9" customFormat="1" ht="12.75">
      <c r="D672" s="9">
        <v>4870619</v>
      </c>
      <c r="E672" s="60"/>
      <c r="F672" s="12"/>
      <c r="H672" s="11"/>
      <c r="I672" s="11"/>
      <c r="J672" s="11">
        <v>4871501</v>
      </c>
      <c r="M672" s="10">
        <v>1974</v>
      </c>
      <c r="N672" s="9" t="s">
        <v>96</v>
      </c>
      <c r="O672" s="10" t="s">
        <v>48</v>
      </c>
    </row>
    <row r="673" spans="4:15" s="9" customFormat="1" ht="12.75">
      <c r="D673" s="9">
        <v>4870620</v>
      </c>
      <c r="E673" s="60"/>
      <c r="F673" s="12"/>
      <c r="H673" s="199">
        <v>4863926</v>
      </c>
      <c r="I673" s="199">
        <v>4868708</v>
      </c>
      <c r="J673" s="11">
        <v>4871260</v>
      </c>
      <c r="M673" s="13" t="s">
        <v>189</v>
      </c>
      <c r="N673" s="9" t="s">
        <v>96</v>
      </c>
      <c r="O673" s="10">
        <v>2009</v>
      </c>
    </row>
    <row r="674" spans="4:15" s="9" customFormat="1" ht="12.75">
      <c r="D674" s="9">
        <v>4870621</v>
      </c>
      <c r="E674" s="60"/>
      <c r="F674" s="12"/>
      <c r="H674" s="11">
        <v>4863974</v>
      </c>
      <c r="I674" s="11"/>
      <c r="J674" s="11"/>
      <c r="K674" s="9">
        <v>245</v>
      </c>
      <c r="L674" s="9">
        <v>33376</v>
      </c>
      <c r="M674" s="10">
        <v>1974</v>
      </c>
      <c r="N674" s="9" t="s">
        <v>96</v>
      </c>
      <c r="O674" s="10" t="s">
        <v>20</v>
      </c>
    </row>
    <row r="675" spans="4:15" s="9" customFormat="1" ht="12.75">
      <c r="D675" s="9">
        <v>4870625</v>
      </c>
      <c r="E675" s="60"/>
      <c r="F675" s="12"/>
      <c r="H675" s="11"/>
      <c r="I675" s="11"/>
      <c r="J675" s="11">
        <v>4871227</v>
      </c>
      <c r="M675" s="10"/>
      <c r="O675" s="10" t="s">
        <v>164</v>
      </c>
    </row>
    <row r="676" spans="4:15" s="9" customFormat="1" ht="12.75">
      <c r="D676" s="9">
        <v>4870627</v>
      </c>
      <c r="E676" s="60"/>
      <c r="F676" s="12"/>
      <c r="H676" s="11"/>
      <c r="I676" s="11"/>
      <c r="J676" s="11">
        <v>4871219</v>
      </c>
      <c r="M676" s="10"/>
      <c r="O676" s="10" t="s">
        <v>30</v>
      </c>
    </row>
    <row r="677" spans="4:15" s="9" customFormat="1" ht="12.75">
      <c r="D677" s="9">
        <v>4870629</v>
      </c>
      <c r="E677" s="60"/>
      <c r="F677" s="12"/>
      <c r="H677" s="11"/>
      <c r="I677" s="11"/>
      <c r="J677" s="11">
        <v>4871399</v>
      </c>
      <c r="M677" s="10"/>
      <c r="O677" s="10" t="s">
        <v>30</v>
      </c>
    </row>
    <row r="678" spans="4:15" s="9" customFormat="1" ht="12.75">
      <c r="D678" s="9">
        <v>4870631</v>
      </c>
      <c r="E678" s="60"/>
      <c r="F678" s="12"/>
      <c r="H678" s="11"/>
      <c r="I678" s="11"/>
      <c r="J678" s="11">
        <v>4871250</v>
      </c>
      <c r="M678" s="10"/>
      <c r="O678" s="10" t="s">
        <v>164</v>
      </c>
    </row>
    <row r="679" spans="4:15" s="9" customFormat="1" ht="12.75">
      <c r="D679" s="9">
        <v>4870647</v>
      </c>
      <c r="E679" s="60"/>
      <c r="F679" s="12"/>
      <c r="H679" s="11"/>
      <c r="I679" s="11"/>
      <c r="J679" s="11">
        <v>4871318</v>
      </c>
      <c r="K679" s="9">
        <v>245</v>
      </c>
      <c r="L679" s="9">
        <v>33402</v>
      </c>
      <c r="M679" s="10">
        <v>1974</v>
      </c>
      <c r="N679" s="9" t="s">
        <v>96</v>
      </c>
      <c r="O679" s="10" t="s">
        <v>30</v>
      </c>
    </row>
    <row r="680" spans="4:15" s="9" customFormat="1" ht="12.75">
      <c r="D680" s="9">
        <v>4870648</v>
      </c>
      <c r="E680" s="60"/>
      <c r="F680" s="12"/>
      <c r="H680" s="11"/>
      <c r="I680" s="11"/>
      <c r="J680" s="11">
        <v>4871198</v>
      </c>
      <c r="M680" s="10">
        <v>1974</v>
      </c>
      <c r="N680" s="9" t="s">
        <v>96</v>
      </c>
      <c r="O680" s="10" t="s">
        <v>48</v>
      </c>
    </row>
    <row r="681" spans="3:15" s="9" customFormat="1" ht="12.75">
      <c r="C681" s="9" t="s">
        <v>166</v>
      </c>
      <c r="D681" s="9">
        <v>4870654</v>
      </c>
      <c r="E681" s="60"/>
      <c r="F681" s="12"/>
      <c r="H681" s="11"/>
      <c r="I681" s="11"/>
      <c r="J681" s="11">
        <v>4871212</v>
      </c>
      <c r="M681" s="10">
        <v>1974</v>
      </c>
      <c r="N681" s="9" t="s">
        <v>96</v>
      </c>
      <c r="O681" s="10">
        <v>2009</v>
      </c>
    </row>
    <row r="682" spans="2:15" s="9" customFormat="1" ht="12.75">
      <c r="B682" s="16" t="s">
        <v>190</v>
      </c>
      <c r="D682" s="9">
        <v>4870656</v>
      </c>
      <c r="E682" s="61"/>
      <c r="F682" s="12"/>
      <c r="G682" s="35"/>
      <c r="H682" s="11">
        <v>4863936</v>
      </c>
      <c r="I682" s="11"/>
      <c r="J682" s="11"/>
      <c r="K682" s="9">
        <f>656-411</f>
        <v>245</v>
      </c>
      <c r="L682" s="9">
        <v>33411</v>
      </c>
      <c r="M682" s="10">
        <v>1974</v>
      </c>
      <c r="N682" s="9" t="s">
        <v>96</v>
      </c>
      <c r="O682" s="10">
        <v>2006</v>
      </c>
    </row>
    <row r="683" spans="2:15" s="9" customFormat="1" ht="12.75">
      <c r="B683" s="16"/>
      <c r="D683" s="9">
        <v>4870658</v>
      </c>
      <c r="E683" s="61"/>
      <c r="F683" s="12"/>
      <c r="G683" s="35"/>
      <c r="H683" s="100" t="s">
        <v>23</v>
      </c>
      <c r="I683" s="11">
        <v>4868701</v>
      </c>
      <c r="J683" s="11"/>
      <c r="K683" s="9">
        <v>245</v>
      </c>
      <c r="L683" s="9">
        <v>33413</v>
      </c>
      <c r="M683" s="10">
        <v>1974</v>
      </c>
      <c r="N683" s="9" t="s">
        <v>96</v>
      </c>
      <c r="O683" s="10" t="s">
        <v>20</v>
      </c>
    </row>
    <row r="684" spans="2:15" s="9" customFormat="1" ht="12.75">
      <c r="B684" s="16"/>
      <c r="D684" s="9">
        <v>4870659</v>
      </c>
      <c r="E684" s="61"/>
      <c r="F684" s="12"/>
      <c r="G684" s="35"/>
      <c r="H684" s="89">
        <v>4863960</v>
      </c>
      <c r="I684" s="89">
        <v>4868714</v>
      </c>
      <c r="J684" s="11">
        <v>4871499</v>
      </c>
      <c r="K684" s="9">
        <v>245</v>
      </c>
      <c r="L684" s="9">
        <v>33414</v>
      </c>
      <c r="M684" s="10">
        <v>1974</v>
      </c>
      <c r="N684" s="9" t="s">
        <v>96</v>
      </c>
      <c r="O684" s="10" t="s">
        <v>48</v>
      </c>
    </row>
    <row r="685" spans="2:15" s="9" customFormat="1" ht="12.75">
      <c r="B685" s="16"/>
      <c r="D685" s="9">
        <v>4870660</v>
      </c>
      <c r="E685" s="61"/>
      <c r="F685" s="12"/>
      <c r="G685" s="35"/>
      <c r="H685" s="11"/>
      <c r="I685" s="11"/>
      <c r="J685" s="11">
        <v>4871329</v>
      </c>
      <c r="M685" s="10"/>
      <c r="O685" s="10" t="s">
        <v>51</v>
      </c>
    </row>
    <row r="686" spans="2:15" s="9" customFormat="1" ht="12.75">
      <c r="B686" s="16"/>
      <c r="D686" s="9">
        <v>4870661</v>
      </c>
      <c r="E686" s="61"/>
      <c r="F686" s="12"/>
      <c r="H686" s="11"/>
      <c r="I686" s="11"/>
      <c r="J686" s="11">
        <v>4871386</v>
      </c>
      <c r="M686" s="10"/>
      <c r="O686" s="10" t="s">
        <v>164</v>
      </c>
    </row>
    <row r="687" spans="2:15" s="9" customFormat="1" ht="12.75">
      <c r="B687" s="16"/>
      <c r="D687" s="9">
        <v>4870662</v>
      </c>
      <c r="E687" s="61"/>
      <c r="F687" s="12"/>
      <c r="H687" s="11"/>
      <c r="I687" s="11"/>
      <c r="J687" s="11">
        <v>4871164</v>
      </c>
      <c r="M687" s="10">
        <v>1974</v>
      </c>
      <c r="N687" s="9" t="s">
        <v>96</v>
      </c>
      <c r="O687" s="10" t="s">
        <v>30</v>
      </c>
    </row>
    <row r="688" spans="2:15" s="9" customFormat="1" ht="12.75">
      <c r="B688" s="16"/>
      <c r="D688" s="53">
        <v>4870666</v>
      </c>
      <c r="E688" s="61"/>
      <c r="F688" s="12"/>
      <c r="H688" s="11"/>
      <c r="I688" s="11"/>
      <c r="J688" s="11"/>
      <c r="M688" s="10"/>
      <c r="O688" s="10">
        <v>1993</v>
      </c>
    </row>
    <row r="689" spans="2:15" s="9" customFormat="1" ht="12.75">
      <c r="B689" s="16"/>
      <c r="D689" s="56">
        <v>4870667</v>
      </c>
      <c r="E689" s="61"/>
      <c r="F689" s="12"/>
      <c r="H689" s="11"/>
      <c r="I689" s="11"/>
      <c r="J689" s="11">
        <v>4871352</v>
      </c>
      <c r="M689" s="10">
        <v>1974</v>
      </c>
      <c r="N689" s="9" t="s">
        <v>96</v>
      </c>
      <c r="O689" s="10" t="s">
        <v>51</v>
      </c>
    </row>
    <row r="690" spans="2:15" s="9" customFormat="1" ht="12.75">
      <c r="B690" s="16"/>
      <c r="C690" s="9" t="s">
        <v>166</v>
      </c>
      <c r="D690" s="55">
        <v>4870674</v>
      </c>
      <c r="E690" s="61"/>
      <c r="F690" s="12"/>
      <c r="H690" s="11"/>
      <c r="I690" s="11"/>
      <c r="J690" s="11">
        <v>4871271</v>
      </c>
      <c r="M690" s="10">
        <v>1974</v>
      </c>
      <c r="N690" s="9" t="s">
        <v>96</v>
      </c>
      <c r="O690" s="10">
        <v>2009</v>
      </c>
    </row>
    <row r="691" spans="2:15" s="9" customFormat="1" ht="12.75">
      <c r="B691" s="16"/>
      <c r="C691" s="9" t="s">
        <v>166</v>
      </c>
      <c r="D691" s="55">
        <v>4870676</v>
      </c>
      <c r="E691" s="61"/>
      <c r="F691" s="12"/>
      <c r="H691" s="55">
        <v>4863957</v>
      </c>
      <c r="I691" s="55">
        <v>4868706</v>
      </c>
      <c r="J691" s="35">
        <v>4871465</v>
      </c>
      <c r="K691" s="9">
        <v>245</v>
      </c>
      <c r="L691" s="9">
        <v>33431</v>
      </c>
      <c r="M691" s="10">
        <v>1974</v>
      </c>
      <c r="N691" s="9" t="s">
        <v>96</v>
      </c>
      <c r="O691" s="10">
        <v>2009</v>
      </c>
    </row>
    <row r="692" spans="2:15" s="9" customFormat="1" ht="12.75">
      <c r="B692" s="16"/>
      <c r="D692" s="55">
        <v>4870678</v>
      </c>
      <c r="E692" s="61"/>
      <c r="F692" s="12"/>
      <c r="H692" s="55">
        <v>4863987</v>
      </c>
      <c r="I692" s="92">
        <v>4868738</v>
      </c>
      <c r="J692" s="35"/>
      <c r="K692" s="9">
        <v>245</v>
      </c>
      <c r="L692" s="9">
        <v>33433</v>
      </c>
      <c r="M692" s="10">
        <v>1974</v>
      </c>
      <c r="N692" s="9" t="s">
        <v>96</v>
      </c>
      <c r="O692" s="10" t="s">
        <v>20</v>
      </c>
    </row>
    <row r="693" spans="2:15" s="9" customFormat="1" ht="12.75">
      <c r="B693" s="16"/>
      <c r="D693" s="55">
        <v>4870680</v>
      </c>
      <c r="E693" s="61"/>
      <c r="F693" s="12"/>
      <c r="H693" s="92">
        <v>4863925</v>
      </c>
      <c r="I693" s="55"/>
      <c r="J693" s="35"/>
      <c r="K693" s="9">
        <f>680-435</f>
        <v>245</v>
      </c>
      <c r="L693" s="9">
        <v>33435</v>
      </c>
      <c r="M693" s="10">
        <v>1974</v>
      </c>
      <c r="N693" s="9" t="s">
        <v>96</v>
      </c>
      <c r="O693" s="10" t="s">
        <v>20</v>
      </c>
    </row>
    <row r="694" spans="2:15" s="9" customFormat="1" ht="12.75">
      <c r="B694" s="16"/>
      <c r="D694" s="55">
        <v>4870681</v>
      </c>
      <c r="E694" s="61"/>
      <c r="F694" s="12"/>
      <c r="H694" s="55"/>
      <c r="I694" s="55"/>
      <c r="J694" s="35">
        <v>4871506</v>
      </c>
      <c r="M694" s="10">
        <v>1974</v>
      </c>
      <c r="N694" s="9" t="s">
        <v>96</v>
      </c>
      <c r="O694" s="10" t="s">
        <v>48</v>
      </c>
    </row>
    <row r="695" spans="2:15" s="9" customFormat="1" ht="12.75">
      <c r="B695" s="16"/>
      <c r="D695" s="9">
        <v>4870683</v>
      </c>
      <c r="E695" s="61"/>
      <c r="F695" s="12"/>
      <c r="H695" s="98">
        <v>4863939</v>
      </c>
      <c r="I695" s="240">
        <v>4868727</v>
      </c>
      <c r="J695" s="11">
        <v>4871243</v>
      </c>
      <c r="K695" s="9">
        <v>245</v>
      </c>
      <c r="L695" s="9">
        <v>33438</v>
      </c>
      <c r="M695" s="10">
        <v>1974</v>
      </c>
      <c r="N695" s="9" t="s">
        <v>96</v>
      </c>
      <c r="O695" s="10" t="s">
        <v>191</v>
      </c>
    </row>
    <row r="696" spans="2:15" s="9" customFormat="1" ht="12.75">
      <c r="B696" s="16"/>
      <c r="D696" s="198">
        <v>4870686</v>
      </c>
      <c r="E696" s="61"/>
      <c r="F696" s="12"/>
      <c r="H696" s="98"/>
      <c r="I696" s="35"/>
      <c r="J696" s="11">
        <v>4871192</v>
      </c>
      <c r="M696" s="13" t="s">
        <v>192</v>
      </c>
      <c r="N696" s="198" t="s">
        <v>96</v>
      </c>
      <c r="O696" s="10">
        <v>2009</v>
      </c>
    </row>
    <row r="697" spans="2:15" s="9" customFormat="1" ht="12.75">
      <c r="B697" s="16"/>
      <c r="D697" s="198">
        <v>4870688</v>
      </c>
      <c r="E697" s="61"/>
      <c r="F697" s="12"/>
      <c r="H697" s="98"/>
      <c r="I697" s="35"/>
      <c r="J697" s="11">
        <v>4871153</v>
      </c>
      <c r="M697" s="13" t="s">
        <v>192</v>
      </c>
      <c r="N697" s="198" t="s">
        <v>96</v>
      </c>
      <c r="O697" s="10">
        <v>2009</v>
      </c>
    </row>
    <row r="698" spans="2:15" s="9" customFormat="1" ht="12.75">
      <c r="B698" s="16"/>
      <c r="C698" s="9" t="s">
        <v>166</v>
      </c>
      <c r="D698" s="9">
        <v>4870692</v>
      </c>
      <c r="E698" s="61"/>
      <c r="F698" s="12"/>
      <c r="H698" s="98">
        <v>4863970</v>
      </c>
      <c r="I698" s="139">
        <v>4868744</v>
      </c>
      <c r="J698" s="11">
        <v>4871623</v>
      </c>
      <c r="K698" s="9">
        <f>692-447</f>
        <v>245</v>
      </c>
      <c r="L698" s="9">
        <v>33447</v>
      </c>
      <c r="M698" s="13" t="s">
        <v>192</v>
      </c>
      <c r="N698" s="9" t="s">
        <v>96</v>
      </c>
      <c r="O698" s="10">
        <v>2009</v>
      </c>
    </row>
    <row r="699" spans="3:15" s="9" customFormat="1" ht="12.75">
      <c r="C699" s="25" t="s">
        <v>166</v>
      </c>
      <c r="D699" s="9">
        <v>4870693</v>
      </c>
      <c r="E699" s="125"/>
      <c r="F699" s="12"/>
      <c r="G699" s="35"/>
      <c r="H699" s="11">
        <v>4863934</v>
      </c>
      <c r="I699" s="11"/>
      <c r="J699" s="11"/>
      <c r="K699" s="9">
        <f>693-448</f>
        <v>245</v>
      </c>
      <c r="L699" s="10">
        <v>33448</v>
      </c>
      <c r="M699" s="114" t="s">
        <v>193</v>
      </c>
      <c r="N699" s="9" t="s">
        <v>96</v>
      </c>
      <c r="O699" s="10">
        <v>2008</v>
      </c>
    </row>
    <row r="700" spans="3:15" s="9" customFormat="1" ht="12.75">
      <c r="C700" s="9" t="s">
        <v>166</v>
      </c>
      <c r="D700" s="9">
        <v>4870718</v>
      </c>
      <c r="E700" s="61"/>
      <c r="F700" s="12"/>
      <c r="G700" s="35"/>
      <c r="H700" s="11">
        <v>4863949</v>
      </c>
      <c r="I700" s="11"/>
      <c r="J700" s="11"/>
      <c r="K700" s="9">
        <f>718-473</f>
        <v>245</v>
      </c>
      <c r="L700" s="9">
        <v>33473</v>
      </c>
      <c r="M700" s="10">
        <v>1974</v>
      </c>
      <c r="N700" s="9" t="s">
        <v>96</v>
      </c>
      <c r="O700" s="10">
        <v>2008</v>
      </c>
    </row>
    <row r="701" spans="4:15" s="9" customFormat="1" ht="12.75">
      <c r="D701" s="9">
        <v>4870719</v>
      </c>
      <c r="E701" s="61"/>
      <c r="F701" s="12"/>
      <c r="G701" s="35"/>
      <c r="H701" s="11"/>
      <c r="I701" s="11"/>
      <c r="J701" s="11">
        <v>4871177</v>
      </c>
      <c r="K701" s="9">
        <v>245</v>
      </c>
      <c r="L701" s="9">
        <v>33474</v>
      </c>
      <c r="M701" s="10">
        <v>1974</v>
      </c>
      <c r="N701" s="9" t="s">
        <v>96</v>
      </c>
      <c r="O701" s="10" t="s">
        <v>51</v>
      </c>
    </row>
    <row r="702" spans="4:15" s="9" customFormat="1" ht="12.75">
      <c r="D702" s="9">
        <v>4870726</v>
      </c>
      <c r="E702" s="61"/>
      <c r="F702" s="12"/>
      <c r="H702" s="98">
        <v>4863991</v>
      </c>
      <c r="I702" s="35">
        <v>4868722</v>
      </c>
      <c r="J702" s="11"/>
      <c r="K702" s="9">
        <f>726-481</f>
        <v>245</v>
      </c>
      <c r="L702" s="9">
        <v>33481</v>
      </c>
      <c r="M702" s="10">
        <v>1974</v>
      </c>
      <c r="N702" s="9" t="s">
        <v>96</v>
      </c>
      <c r="O702" s="10" t="s">
        <v>20</v>
      </c>
    </row>
    <row r="703" spans="4:15" s="9" customFormat="1" ht="12.75">
      <c r="D703" s="9">
        <v>4870734</v>
      </c>
      <c r="E703" s="61"/>
      <c r="F703" s="12"/>
      <c r="H703" s="35"/>
      <c r="I703" s="35"/>
      <c r="J703" s="11">
        <v>4871676</v>
      </c>
      <c r="M703" s="10"/>
      <c r="O703" s="10" t="s">
        <v>30</v>
      </c>
    </row>
    <row r="704" spans="4:15" s="9" customFormat="1" ht="12.75">
      <c r="D704" s="9">
        <v>4870737</v>
      </c>
      <c r="E704" s="61"/>
      <c r="F704" s="12"/>
      <c r="H704" s="84"/>
      <c r="I704" s="84"/>
      <c r="J704" s="11">
        <v>4871444</v>
      </c>
      <c r="M704" s="10"/>
      <c r="O704" s="10" t="s">
        <v>164</v>
      </c>
    </row>
    <row r="705" spans="4:15" s="9" customFormat="1" ht="12.75">
      <c r="D705" s="9">
        <v>4870738</v>
      </c>
      <c r="E705" s="61"/>
      <c r="F705" s="12"/>
      <c r="H705" s="84"/>
      <c r="I705" s="84"/>
      <c r="J705" s="11">
        <v>4871576</v>
      </c>
      <c r="K705" s="9">
        <v>245</v>
      </c>
      <c r="L705" s="9">
        <v>33493</v>
      </c>
      <c r="M705" s="10">
        <v>1974</v>
      </c>
      <c r="N705" s="9" t="s">
        <v>96</v>
      </c>
      <c r="O705" s="10" t="s">
        <v>48</v>
      </c>
    </row>
    <row r="706" spans="3:15" s="9" customFormat="1" ht="12.75">
      <c r="C706" s="9" t="s">
        <v>166</v>
      </c>
      <c r="D706" s="9">
        <v>4870739</v>
      </c>
      <c r="E706" s="61"/>
      <c r="F706" s="12"/>
      <c r="H706" s="84"/>
      <c r="I706" s="84"/>
      <c r="J706" s="11">
        <v>4871139</v>
      </c>
      <c r="M706" s="13" t="s">
        <v>194</v>
      </c>
      <c r="N706" s="9" t="s">
        <v>96</v>
      </c>
      <c r="O706" s="10">
        <v>2009</v>
      </c>
    </row>
    <row r="707" spans="4:15" s="9" customFormat="1" ht="12.75">
      <c r="D707" s="9">
        <v>4870742</v>
      </c>
      <c r="E707" s="61"/>
      <c r="F707" s="12"/>
      <c r="H707" s="84"/>
      <c r="I707" s="84"/>
      <c r="J707" s="11">
        <v>4871538</v>
      </c>
      <c r="M707" s="10">
        <v>1974</v>
      </c>
      <c r="N707" s="9" t="s">
        <v>96</v>
      </c>
      <c r="O707" s="10" t="s">
        <v>30</v>
      </c>
    </row>
    <row r="708" spans="3:15" s="9" customFormat="1" ht="12.75">
      <c r="C708" s="9" t="s">
        <v>166</v>
      </c>
      <c r="D708" s="9">
        <v>4870745</v>
      </c>
      <c r="E708" s="61"/>
      <c r="F708" s="12"/>
      <c r="H708" s="84"/>
      <c r="I708" s="84"/>
      <c r="J708" s="11">
        <v>4871127</v>
      </c>
      <c r="M708" s="13" t="s">
        <v>194</v>
      </c>
      <c r="N708" s="9" t="s">
        <v>96</v>
      </c>
      <c r="O708" s="10">
        <v>2009</v>
      </c>
    </row>
    <row r="709" spans="3:15" s="9" customFormat="1" ht="12.75">
      <c r="C709" s="9" t="s">
        <v>166</v>
      </c>
      <c r="D709" s="9">
        <v>4870748</v>
      </c>
      <c r="E709" s="61"/>
      <c r="F709" s="12"/>
      <c r="H709" s="84"/>
      <c r="I709" s="84"/>
      <c r="J709" s="11">
        <v>4871148</v>
      </c>
      <c r="K709" s="9">
        <f>748-503</f>
        <v>245</v>
      </c>
      <c r="L709" s="9">
        <v>33503</v>
      </c>
      <c r="M709" s="10">
        <v>1974</v>
      </c>
      <c r="N709" s="9" t="s">
        <v>96</v>
      </c>
      <c r="O709" s="10">
        <v>2009</v>
      </c>
    </row>
    <row r="710" spans="4:15" s="9" customFormat="1" ht="12.75">
      <c r="D710" s="9">
        <v>4870749</v>
      </c>
      <c r="E710" s="61"/>
      <c r="F710" s="12"/>
      <c r="G710" s="182">
        <v>4870965</v>
      </c>
      <c r="H710" s="84"/>
      <c r="I710" s="84"/>
      <c r="J710" s="11"/>
      <c r="M710" s="10"/>
      <c r="O710" s="10" t="s">
        <v>20</v>
      </c>
    </row>
    <row r="711" spans="4:15" s="9" customFormat="1" ht="12.75">
      <c r="D711" s="9">
        <v>4870757</v>
      </c>
      <c r="E711" s="61"/>
      <c r="F711" s="12"/>
      <c r="H711" s="84"/>
      <c r="I711" s="84"/>
      <c r="J711" s="11">
        <v>4871391</v>
      </c>
      <c r="M711" s="10">
        <v>1974</v>
      </c>
      <c r="N711" s="9" t="s">
        <v>96</v>
      </c>
      <c r="O711" s="10" t="s">
        <v>48</v>
      </c>
    </row>
    <row r="712" spans="4:15" s="9" customFormat="1" ht="12.75">
      <c r="D712" s="9">
        <v>4870762</v>
      </c>
      <c r="E712" s="61"/>
      <c r="F712" s="12"/>
      <c r="H712" s="84">
        <v>4863932</v>
      </c>
      <c r="I712" s="84">
        <v>4868741</v>
      </c>
      <c r="J712" s="11">
        <v>4871245</v>
      </c>
      <c r="K712" s="9">
        <f>762-517</f>
        <v>245</v>
      </c>
      <c r="L712" s="9">
        <v>33517</v>
      </c>
      <c r="M712" s="10">
        <v>1974</v>
      </c>
      <c r="N712" s="9" t="s">
        <v>96</v>
      </c>
      <c r="O712" s="10" t="s">
        <v>20</v>
      </c>
    </row>
    <row r="713" spans="4:15" s="9" customFormat="1" ht="12.75">
      <c r="D713" s="9">
        <v>4870763</v>
      </c>
      <c r="E713" s="61"/>
      <c r="F713" s="12"/>
      <c r="H713" s="84">
        <v>4863938</v>
      </c>
      <c r="I713" s="84">
        <v>4868732</v>
      </c>
      <c r="J713" s="11">
        <v>4871609</v>
      </c>
      <c r="K713" s="9">
        <v>245</v>
      </c>
      <c r="L713" s="9">
        <v>33518</v>
      </c>
      <c r="M713" s="10">
        <v>1974</v>
      </c>
      <c r="N713" s="9" t="s">
        <v>96</v>
      </c>
      <c r="O713" s="10" t="s">
        <v>51</v>
      </c>
    </row>
    <row r="714" spans="4:15" s="9" customFormat="1" ht="12.75">
      <c r="D714" s="9">
        <v>4870766</v>
      </c>
      <c r="E714" s="61"/>
      <c r="F714" s="12"/>
      <c r="H714" s="84"/>
      <c r="I714" s="84"/>
      <c r="J714" s="11">
        <v>4871509</v>
      </c>
      <c r="K714" s="9">
        <f>766-521</f>
        <v>245</v>
      </c>
      <c r="L714" s="9">
        <v>33521</v>
      </c>
      <c r="M714" s="10">
        <v>1974</v>
      </c>
      <c r="N714" s="9" t="s">
        <v>96</v>
      </c>
      <c r="O714" s="10" t="s">
        <v>51</v>
      </c>
    </row>
    <row r="715" spans="4:15" s="9" customFormat="1" ht="12.75">
      <c r="D715" s="9">
        <v>4870769</v>
      </c>
      <c r="E715" s="61"/>
      <c r="F715" s="12"/>
      <c r="H715" s="84"/>
      <c r="I715" s="84"/>
      <c r="J715" s="11">
        <v>4871494</v>
      </c>
      <c r="M715" s="10"/>
      <c r="O715" s="10" t="s">
        <v>30</v>
      </c>
    </row>
    <row r="716" spans="4:15" s="9" customFormat="1" ht="12.75">
      <c r="D716" s="9">
        <v>4870772</v>
      </c>
      <c r="E716" s="61"/>
      <c r="F716" s="12"/>
      <c r="H716" s="84">
        <v>4863915</v>
      </c>
      <c r="I716" s="92">
        <v>4868740</v>
      </c>
      <c r="J716" s="11"/>
      <c r="K716" s="9">
        <v>245</v>
      </c>
      <c r="L716" s="9">
        <v>33527</v>
      </c>
      <c r="M716" s="10">
        <v>1974</v>
      </c>
      <c r="N716" s="9" t="s">
        <v>96</v>
      </c>
      <c r="O716" s="10" t="s">
        <v>20</v>
      </c>
    </row>
    <row r="717" spans="4:15" s="9" customFormat="1" ht="12.75">
      <c r="D717" s="9">
        <v>4870774</v>
      </c>
      <c r="E717" s="61"/>
      <c r="F717" s="12"/>
      <c r="H717" s="84"/>
      <c r="I717" s="84"/>
      <c r="J717" s="11">
        <v>4871570</v>
      </c>
      <c r="M717" s="10"/>
      <c r="O717" s="10" t="s">
        <v>164</v>
      </c>
    </row>
    <row r="718" spans="4:15" s="9" customFormat="1" ht="12.75">
      <c r="D718" s="9">
        <v>4870778</v>
      </c>
      <c r="E718" s="61"/>
      <c r="F718" s="12"/>
      <c r="H718" s="84"/>
      <c r="I718" s="84"/>
      <c r="J718" s="11">
        <v>4871172</v>
      </c>
      <c r="M718" s="10"/>
      <c r="O718" s="10" t="s">
        <v>164</v>
      </c>
    </row>
    <row r="719" spans="4:15" s="9" customFormat="1" ht="12.75">
      <c r="D719" s="198">
        <v>4870779</v>
      </c>
      <c r="E719" s="61"/>
      <c r="F719" s="12"/>
      <c r="H719" s="84"/>
      <c r="I719" s="84"/>
      <c r="J719" s="11">
        <v>4871327</v>
      </c>
      <c r="K719" s="9">
        <v>245</v>
      </c>
      <c r="L719" s="9">
        <v>33534</v>
      </c>
      <c r="M719" s="13" t="s">
        <v>195</v>
      </c>
      <c r="N719" s="9" t="s">
        <v>96</v>
      </c>
      <c r="O719" s="10">
        <v>2009</v>
      </c>
    </row>
    <row r="720" spans="4:15" s="9" customFormat="1" ht="12.75">
      <c r="D720" s="9">
        <v>4870785</v>
      </c>
      <c r="E720" s="61"/>
      <c r="F720" s="12"/>
      <c r="H720" s="84">
        <v>4863971</v>
      </c>
      <c r="I720" s="92">
        <v>4868721</v>
      </c>
      <c r="J720" s="11"/>
      <c r="K720" s="9">
        <v>245</v>
      </c>
      <c r="L720" s="9">
        <v>33540</v>
      </c>
      <c r="M720" s="10">
        <v>1974</v>
      </c>
      <c r="N720" s="9" t="s">
        <v>96</v>
      </c>
      <c r="O720" s="10" t="s">
        <v>20</v>
      </c>
    </row>
    <row r="721" spans="4:15" s="9" customFormat="1" ht="12.75">
      <c r="D721" s="9">
        <v>4870788</v>
      </c>
      <c r="E721" s="61"/>
      <c r="F721" s="12"/>
      <c r="H721" s="84">
        <v>4863953</v>
      </c>
      <c r="I721" s="92">
        <v>4868718</v>
      </c>
      <c r="J721" s="11"/>
      <c r="K721" s="9">
        <v>245</v>
      </c>
      <c r="L721" s="9">
        <v>33543</v>
      </c>
      <c r="M721" s="10">
        <v>1974</v>
      </c>
      <c r="N721" s="9" t="s">
        <v>96</v>
      </c>
      <c r="O721" s="10" t="s">
        <v>20</v>
      </c>
    </row>
    <row r="722" spans="4:15" s="9" customFormat="1" ht="12.75">
      <c r="D722" s="9">
        <v>4870789</v>
      </c>
      <c r="E722" s="61"/>
      <c r="F722" s="12"/>
      <c r="H722" s="84">
        <v>4863993</v>
      </c>
      <c r="I722" s="89">
        <v>4868725</v>
      </c>
      <c r="J722" s="11">
        <v>4871528</v>
      </c>
      <c r="K722" s="9">
        <v>245</v>
      </c>
      <c r="L722" s="9">
        <v>33544</v>
      </c>
      <c r="M722" s="10">
        <v>1974</v>
      </c>
      <c r="N722" s="9" t="s">
        <v>96</v>
      </c>
      <c r="O722" s="10" t="s">
        <v>20</v>
      </c>
    </row>
    <row r="723" spans="4:15" s="9" customFormat="1" ht="12.75">
      <c r="D723" s="9">
        <v>4870790</v>
      </c>
      <c r="E723" s="61"/>
      <c r="F723" s="12"/>
      <c r="H723" s="89">
        <v>4863928</v>
      </c>
      <c r="I723" s="11">
        <v>4868726</v>
      </c>
      <c r="J723" s="11"/>
      <c r="K723" s="9">
        <f>790-545</f>
        <v>245</v>
      </c>
      <c r="L723" s="9">
        <v>33545</v>
      </c>
      <c r="M723" s="10">
        <v>1974</v>
      </c>
      <c r="N723" s="9" t="s">
        <v>96</v>
      </c>
      <c r="O723" s="10" t="s">
        <v>20</v>
      </c>
    </row>
    <row r="724" spans="4:15" s="9" customFormat="1" ht="12.75">
      <c r="D724" s="9">
        <v>4870793</v>
      </c>
      <c r="E724" s="61"/>
      <c r="F724" s="12"/>
      <c r="H724" s="11"/>
      <c r="I724" s="11"/>
      <c r="J724" s="11">
        <v>4871601</v>
      </c>
      <c r="K724" s="9">
        <f>793-548</f>
        <v>245</v>
      </c>
      <c r="L724" s="9">
        <v>33548</v>
      </c>
      <c r="M724" s="10">
        <v>1974</v>
      </c>
      <c r="N724" s="9" t="s">
        <v>96</v>
      </c>
      <c r="O724" s="10" t="s">
        <v>30</v>
      </c>
    </row>
    <row r="725" spans="4:15" s="9" customFormat="1" ht="12.75">
      <c r="D725" s="9">
        <v>4870794</v>
      </c>
      <c r="E725" s="61"/>
      <c r="F725" s="12"/>
      <c r="H725" s="100" t="s">
        <v>23</v>
      </c>
      <c r="I725" s="11">
        <v>4868743</v>
      </c>
      <c r="J725" s="11"/>
      <c r="K725" s="9">
        <v>245</v>
      </c>
      <c r="L725" s="9">
        <v>33549</v>
      </c>
      <c r="M725" s="10">
        <v>1974</v>
      </c>
      <c r="N725" s="9" t="s">
        <v>96</v>
      </c>
      <c r="O725" s="10" t="s">
        <v>20</v>
      </c>
    </row>
    <row r="726" spans="3:15" s="9" customFormat="1" ht="12.75">
      <c r="C726" s="9" t="s">
        <v>166</v>
      </c>
      <c r="D726" s="9">
        <v>4870797</v>
      </c>
      <c r="E726" s="61"/>
      <c r="F726" s="12"/>
      <c r="G726" s="35"/>
      <c r="H726" s="11">
        <v>4863959</v>
      </c>
      <c r="I726" s="11"/>
      <c r="J726" s="11"/>
      <c r="K726" s="9">
        <v>245</v>
      </c>
      <c r="L726" s="9">
        <v>33552</v>
      </c>
      <c r="M726" s="13" t="s">
        <v>195</v>
      </c>
      <c r="N726" s="9" t="s">
        <v>171</v>
      </c>
      <c r="O726" s="10">
        <v>2008</v>
      </c>
    </row>
    <row r="727" spans="4:15" s="9" customFormat="1" ht="12.75">
      <c r="D727" s="9">
        <v>4870798</v>
      </c>
      <c r="E727" s="61"/>
      <c r="F727" s="12"/>
      <c r="G727" s="35"/>
      <c r="H727" s="11"/>
      <c r="I727" s="11"/>
      <c r="J727" s="11">
        <v>4871526</v>
      </c>
      <c r="M727" s="13"/>
      <c r="O727" s="10" t="s">
        <v>30</v>
      </c>
    </row>
    <row r="728" spans="4:15" s="9" customFormat="1" ht="12.75">
      <c r="D728" s="9">
        <v>4870799</v>
      </c>
      <c r="E728" s="61"/>
      <c r="F728" s="12"/>
      <c r="H728" s="11"/>
      <c r="I728" s="11"/>
      <c r="J728" s="11">
        <v>4871070</v>
      </c>
      <c r="M728" s="13"/>
      <c r="O728" s="10" t="s">
        <v>164</v>
      </c>
    </row>
    <row r="729" spans="4:15" s="9" customFormat="1" ht="12.75">
      <c r="D729" s="9">
        <v>4870802</v>
      </c>
      <c r="E729" s="61"/>
      <c r="F729" s="12"/>
      <c r="H729" s="11"/>
      <c r="I729" s="11"/>
      <c r="J729" s="11">
        <v>4871199</v>
      </c>
      <c r="K729" s="9">
        <f>802-557</f>
        <v>245</v>
      </c>
      <c r="L729" s="9">
        <v>33557</v>
      </c>
      <c r="M729" s="13">
        <v>1975</v>
      </c>
      <c r="N729" s="9" t="s">
        <v>96</v>
      </c>
      <c r="O729" s="10" t="s">
        <v>30</v>
      </c>
    </row>
    <row r="730" spans="4:15" s="9" customFormat="1" ht="12.75">
      <c r="D730" s="9">
        <v>4870804</v>
      </c>
      <c r="E730" s="61"/>
      <c r="F730" s="12"/>
      <c r="H730" s="11"/>
      <c r="I730" s="11"/>
      <c r="J730" s="11">
        <v>4871072</v>
      </c>
      <c r="K730" s="9">
        <v>245</v>
      </c>
      <c r="L730" s="9">
        <v>33559</v>
      </c>
      <c r="M730" s="13">
        <v>1975</v>
      </c>
      <c r="N730" s="9" t="s">
        <v>96</v>
      </c>
      <c r="O730" s="10" t="s">
        <v>51</v>
      </c>
    </row>
    <row r="731" spans="4:15" s="9" customFormat="1" ht="12.75">
      <c r="D731" s="9">
        <v>4870809</v>
      </c>
      <c r="E731" s="61"/>
      <c r="F731" s="12"/>
      <c r="H731" s="89">
        <v>4863963</v>
      </c>
      <c r="I731" s="89">
        <v>4868742</v>
      </c>
      <c r="J731" s="11">
        <v>4871466</v>
      </c>
      <c r="K731" s="9">
        <f>809-564</f>
        <v>245</v>
      </c>
      <c r="L731" s="9">
        <v>33564</v>
      </c>
      <c r="M731" s="13">
        <v>1975</v>
      </c>
      <c r="N731" s="9" t="s">
        <v>96</v>
      </c>
      <c r="O731" s="10" t="s">
        <v>48</v>
      </c>
    </row>
    <row r="732" spans="4:15" s="9" customFormat="1" ht="12.75">
      <c r="D732" s="9">
        <v>4870811</v>
      </c>
      <c r="E732" s="61"/>
      <c r="F732" s="12"/>
      <c r="H732" s="11"/>
      <c r="I732" s="11"/>
      <c r="J732" s="11">
        <v>4871026</v>
      </c>
      <c r="K732" s="9">
        <f>811-566</f>
        <v>245</v>
      </c>
      <c r="L732" s="9">
        <v>33566</v>
      </c>
      <c r="M732" s="13">
        <v>1975</v>
      </c>
      <c r="N732" s="9" t="s">
        <v>96</v>
      </c>
      <c r="O732" s="10" t="s">
        <v>48</v>
      </c>
    </row>
    <row r="733" spans="4:15" s="9" customFormat="1" ht="12.75">
      <c r="D733" s="9">
        <v>4870812</v>
      </c>
      <c r="E733" s="61"/>
      <c r="F733" s="12"/>
      <c r="H733" s="11"/>
      <c r="I733" s="11"/>
      <c r="J733" s="11">
        <v>4871587</v>
      </c>
      <c r="M733" s="13" t="s">
        <v>196</v>
      </c>
      <c r="N733" s="9" t="s">
        <v>171</v>
      </c>
      <c r="O733" s="10" t="s">
        <v>30</v>
      </c>
    </row>
    <row r="734" spans="4:15" s="9" customFormat="1" ht="12.75">
      <c r="D734" s="9">
        <v>4870813</v>
      </c>
      <c r="E734" s="61"/>
      <c r="F734" s="12"/>
      <c r="H734" s="11"/>
      <c r="I734" s="11"/>
      <c r="J734" s="11">
        <v>4871425</v>
      </c>
      <c r="M734" s="13">
        <v>1975</v>
      </c>
      <c r="N734" s="9" t="s">
        <v>96</v>
      </c>
      <c r="O734" s="10" t="s">
        <v>48</v>
      </c>
    </row>
    <row r="735" spans="4:15" s="9" customFormat="1" ht="12.75">
      <c r="D735" s="9">
        <v>4870818</v>
      </c>
      <c r="E735" s="61"/>
      <c r="F735" s="12"/>
      <c r="H735" s="11"/>
      <c r="I735" s="11"/>
      <c r="J735" s="11">
        <v>4871238</v>
      </c>
      <c r="K735" s="9">
        <v>245</v>
      </c>
      <c r="L735" s="9">
        <v>33573</v>
      </c>
      <c r="M735" s="13">
        <v>1975</v>
      </c>
      <c r="N735" s="9" t="s">
        <v>96</v>
      </c>
      <c r="O735" s="10" t="s">
        <v>30</v>
      </c>
    </row>
    <row r="736" spans="4:15" s="9" customFormat="1" ht="12.75">
      <c r="D736" s="9">
        <v>4870819</v>
      </c>
      <c r="E736" s="61"/>
      <c r="F736" s="12"/>
      <c r="H736" s="11"/>
      <c r="I736" s="11"/>
      <c r="J736" s="11">
        <v>4871367</v>
      </c>
      <c r="K736" s="9">
        <f>819-574</f>
        <v>245</v>
      </c>
      <c r="L736" s="9">
        <v>33574</v>
      </c>
      <c r="M736" s="13">
        <v>1975</v>
      </c>
      <c r="N736" s="9" t="s">
        <v>96</v>
      </c>
      <c r="O736" s="10">
        <v>2009</v>
      </c>
    </row>
    <row r="737" spans="4:15" s="9" customFormat="1" ht="12.75">
      <c r="D737" s="9">
        <v>4870820</v>
      </c>
      <c r="E737" s="61"/>
      <c r="F737" s="12"/>
      <c r="H737" s="11"/>
      <c r="I737" s="11"/>
      <c r="J737" s="11">
        <v>4871290</v>
      </c>
      <c r="M737" s="13" t="s">
        <v>196</v>
      </c>
      <c r="N737" s="9" t="s">
        <v>171</v>
      </c>
      <c r="O737" s="10" t="s">
        <v>197</v>
      </c>
    </row>
    <row r="738" spans="4:15" s="9" customFormat="1" ht="12.75">
      <c r="D738" s="9">
        <v>4870822</v>
      </c>
      <c r="E738" s="61"/>
      <c r="F738" s="12"/>
      <c r="H738" s="11"/>
      <c r="I738" s="11"/>
      <c r="J738" s="11">
        <v>4871021</v>
      </c>
      <c r="K738" s="9">
        <v>245</v>
      </c>
      <c r="L738" s="9">
        <v>33577</v>
      </c>
      <c r="M738" s="13">
        <v>1975</v>
      </c>
      <c r="N738" s="9" t="s">
        <v>96</v>
      </c>
      <c r="O738" s="10" t="s">
        <v>48</v>
      </c>
    </row>
    <row r="739" spans="4:15" s="9" customFormat="1" ht="12.75">
      <c r="D739" s="9">
        <v>4870823</v>
      </c>
      <c r="E739" s="61"/>
      <c r="F739" s="12"/>
      <c r="G739" s="182">
        <v>4870969</v>
      </c>
      <c r="H739" s="11"/>
      <c r="I739" s="11"/>
      <c r="J739" s="11"/>
      <c r="M739" s="13"/>
      <c r="O739" s="10" t="s">
        <v>20</v>
      </c>
    </row>
    <row r="740" spans="1:15" s="2" customFormat="1" ht="13.5" thickBot="1">
      <c r="A740" s="44" t="s">
        <v>198</v>
      </c>
      <c r="B740" s="150"/>
      <c r="C740" s="150"/>
      <c r="D740" s="144">
        <v>4870824</v>
      </c>
      <c r="E740" s="151"/>
      <c r="F740" s="150"/>
      <c r="G740" s="150"/>
      <c r="H740" s="152"/>
      <c r="I740" s="152"/>
      <c r="J740" s="152"/>
      <c r="K740" s="150"/>
      <c r="L740" s="144">
        <v>33579</v>
      </c>
      <c r="M740" s="153"/>
      <c r="N740" s="150"/>
      <c r="O740" s="154" t="s">
        <v>20</v>
      </c>
    </row>
    <row r="741" spans="3:15" s="47" customFormat="1" ht="12.75">
      <c r="C741" s="47">
        <v>4852050</v>
      </c>
      <c r="H741" s="73"/>
      <c r="I741" s="73"/>
      <c r="J741" s="73"/>
      <c r="L741" s="112" t="s">
        <v>199</v>
      </c>
      <c r="M741" s="49"/>
      <c r="N741" s="47" t="s">
        <v>37</v>
      </c>
      <c r="O741" s="49"/>
    </row>
    <row r="742" spans="3:15" s="9" customFormat="1" ht="12.75">
      <c r="C742" s="9">
        <v>4852054</v>
      </c>
      <c r="E742" s="67">
        <v>4862785</v>
      </c>
      <c r="F742" s="12">
        <f>E742-C742</f>
        <v>10731</v>
      </c>
      <c r="H742" s="11"/>
      <c r="I742" s="11"/>
      <c r="J742" s="11"/>
      <c r="K742" s="9">
        <f>1054-222</f>
        <v>832</v>
      </c>
      <c r="L742" s="9">
        <v>155222</v>
      </c>
      <c r="M742" s="10">
        <v>1974</v>
      </c>
      <c r="N742" s="9" t="s">
        <v>37</v>
      </c>
      <c r="O742" s="10">
        <v>2008</v>
      </c>
    </row>
    <row r="743" spans="3:15" s="9" customFormat="1" ht="12.75">
      <c r="C743" s="10" t="s">
        <v>200</v>
      </c>
      <c r="E743" s="9">
        <v>4862788</v>
      </c>
      <c r="F743" s="12"/>
      <c r="L743" s="9">
        <v>155225</v>
      </c>
      <c r="M743" s="10">
        <v>1974</v>
      </c>
      <c r="N743" s="9" t="s">
        <v>37</v>
      </c>
      <c r="O743" s="10"/>
    </row>
    <row r="744" spans="3:15" s="9" customFormat="1" ht="12.75">
      <c r="C744" s="10">
        <v>4852061</v>
      </c>
      <c r="E744" s="211">
        <v>4862792</v>
      </c>
      <c r="F744" s="12">
        <f>E744-C744</f>
        <v>10731</v>
      </c>
      <c r="K744" s="9">
        <f>1061-229</f>
        <v>832</v>
      </c>
      <c r="L744" s="198">
        <v>155229</v>
      </c>
      <c r="M744" s="10">
        <v>1974</v>
      </c>
      <c r="N744" s="198" t="s">
        <v>37</v>
      </c>
      <c r="O744" s="10">
        <v>2010</v>
      </c>
    </row>
    <row r="745" spans="3:15" s="9" customFormat="1" ht="12.75">
      <c r="C745" s="10">
        <v>4852064</v>
      </c>
      <c r="E745" s="211">
        <v>4862795</v>
      </c>
      <c r="F745" s="12">
        <f>E745-C745</f>
        <v>10731</v>
      </c>
      <c r="K745" s="9">
        <v>832</v>
      </c>
      <c r="L745" s="198">
        <v>155232</v>
      </c>
      <c r="M745" s="10">
        <v>1974</v>
      </c>
      <c r="N745" s="198" t="s">
        <v>37</v>
      </c>
      <c r="O745" s="10">
        <v>2012</v>
      </c>
    </row>
    <row r="746" spans="3:15" s="9" customFormat="1" ht="12.75">
      <c r="C746" s="9">
        <v>4852065</v>
      </c>
      <c r="E746" s="11">
        <v>4862796</v>
      </c>
      <c r="F746" s="12">
        <f>E746-C746</f>
        <v>10731</v>
      </c>
      <c r="M746" s="10">
        <v>1974</v>
      </c>
      <c r="N746" s="9" t="s">
        <v>37</v>
      </c>
      <c r="O746" s="10">
        <v>1997</v>
      </c>
    </row>
    <row r="747" spans="3:15" s="9" customFormat="1" ht="12.75">
      <c r="C747" s="9">
        <v>4852066</v>
      </c>
      <c r="E747" s="11">
        <v>4862797</v>
      </c>
      <c r="F747" s="12">
        <v>10731</v>
      </c>
      <c r="K747" s="9">
        <v>832</v>
      </c>
      <c r="L747" s="9">
        <v>155234</v>
      </c>
      <c r="M747" s="10">
        <v>1974</v>
      </c>
      <c r="N747" s="9" t="s">
        <v>37</v>
      </c>
      <c r="O747" s="10">
        <v>2008</v>
      </c>
    </row>
    <row r="748" spans="3:15" s="9" customFormat="1" ht="12.75">
      <c r="C748" s="9">
        <v>4852070</v>
      </c>
      <c r="E748" s="11">
        <v>4862801</v>
      </c>
      <c r="F748" s="12">
        <f aca="true" t="shared" si="19" ref="F748:F755">E748-C748</f>
        <v>10731</v>
      </c>
      <c r="K748" s="9">
        <v>832</v>
      </c>
      <c r="L748" s="9">
        <v>155238</v>
      </c>
      <c r="M748" s="10">
        <v>1974</v>
      </c>
      <c r="N748" s="9" t="s">
        <v>37</v>
      </c>
      <c r="O748" s="10">
        <v>2008</v>
      </c>
    </row>
    <row r="749" spans="3:15" s="9" customFormat="1" ht="12.75">
      <c r="C749" s="9">
        <v>4852072</v>
      </c>
      <c r="E749" s="11">
        <v>4862803</v>
      </c>
      <c r="F749" s="12">
        <f t="shared" si="19"/>
        <v>10731</v>
      </c>
      <c r="K749" s="9">
        <f>1072-240</f>
        <v>832</v>
      </c>
      <c r="L749" s="9">
        <v>155240</v>
      </c>
      <c r="M749" s="10">
        <v>1974</v>
      </c>
      <c r="N749" s="9" t="s">
        <v>37</v>
      </c>
      <c r="O749" s="10">
        <v>2008</v>
      </c>
    </row>
    <row r="750" spans="3:15" s="9" customFormat="1" ht="12.75">
      <c r="C750" s="9">
        <v>4852074</v>
      </c>
      <c r="E750" s="11">
        <v>4862805</v>
      </c>
      <c r="F750" s="12">
        <f t="shared" si="19"/>
        <v>10731</v>
      </c>
      <c r="M750" s="10"/>
      <c r="O750" s="10" t="s">
        <v>164</v>
      </c>
    </row>
    <row r="751" spans="3:15" s="9" customFormat="1" ht="12.75">
      <c r="C751" s="9">
        <v>4852082</v>
      </c>
      <c r="E751" s="11">
        <v>4862813</v>
      </c>
      <c r="F751" s="12">
        <f t="shared" si="19"/>
        <v>10731</v>
      </c>
      <c r="K751" s="9">
        <f>1082-250</f>
        <v>832</v>
      </c>
      <c r="L751" s="9">
        <v>155250</v>
      </c>
      <c r="M751" s="10">
        <v>1974</v>
      </c>
      <c r="N751" s="9" t="s">
        <v>37</v>
      </c>
      <c r="O751" s="10">
        <v>2007</v>
      </c>
    </row>
    <row r="752" spans="3:15" s="9" customFormat="1" ht="12.75">
      <c r="C752" s="198">
        <v>4852085</v>
      </c>
      <c r="E752" s="11">
        <v>4862816</v>
      </c>
      <c r="F752" s="200">
        <f t="shared" si="19"/>
        <v>10731</v>
      </c>
      <c r="K752" s="9">
        <v>832</v>
      </c>
      <c r="L752" s="198">
        <v>155253</v>
      </c>
      <c r="M752" s="13" t="s">
        <v>201</v>
      </c>
      <c r="N752" s="198" t="s">
        <v>37</v>
      </c>
      <c r="O752" s="10" t="s">
        <v>148</v>
      </c>
    </row>
    <row r="753" spans="3:15" s="9" customFormat="1" ht="12.75">
      <c r="C753" s="9">
        <v>4852088</v>
      </c>
      <c r="E753" s="11">
        <v>4862819</v>
      </c>
      <c r="F753" s="12">
        <f t="shared" si="19"/>
        <v>10731</v>
      </c>
      <c r="M753" s="10">
        <v>1974</v>
      </c>
      <c r="N753" s="9" t="s">
        <v>37</v>
      </c>
      <c r="O753" s="10">
        <v>2005</v>
      </c>
    </row>
    <row r="754" spans="3:15" s="9" customFormat="1" ht="12.75">
      <c r="C754" s="9">
        <v>4852098</v>
      </c>
      <c r="E754" s="11">
        <v>4862829</v>
      </c>
      <c r="F754" s="12">
        <f t="shared" si="19"/>
        <v>10731</v>
      </c>
      <c r="K754" s="9">
        <v>832</v>
      </c>
      <c r="L754" s="9">
        <v>155266</v>
      </c>
      <c r="M754" s="10">
        <v>1974</v>
      </c>
      <c r="N754" s="9" t="s">
        <v>37</v>
      </c>
      <c r="O754" s="10">
        <v>2008</v>
      </c>
    </row>
    <row r="755" spans="1:15" s="9" customFormat="1" ht="12.75">
      <c r="A755" s="9">
        <v>2099</v>
      </c>
      <c r="C755" s="9">
        <v>4852099</v>
      </c>
      <c r="E755" s="11">
        <v>4862830</v>
      </c>
      <c r="F755" s="12">
        <f t="shared" si="19"/>
        <v>10731</v>
      </c>
      <c r="K755" s="9">
        <f>1099-267</f>
        <v>832</v>
      </c>
      <c r="L755" s="9">
        <v>155267</v>
      </c>
      <c r="M755" s="10">
        <v>1974</v>
      </c>
      <c r="N755" s="9" t="s">
        <v>37</v>
      </c>
      <c r="O755" s="10">
        <v>2008</v>
      </c>
    </row>
    <row r="756" spans="3:15" s="9" customFormat="1" ht="12.75">
      <c r="C756" s="9">
        <v>4852104</v>
      </c>
      <c r="E756" s="11">
        <v>4862835</v>
      </c>
      <c r="F756" s="12">
        <v>10731</v>
      </c>
      <c r="K756" s="9">
        <v>832</v>
      </c>
      <c r="L756" s="9">
        <v>155272</v>
      </c>
      <c r="M756" s="10">
        <v>1974</v>
      </c>
      <c r="N756" s="9" t="s">
        <v>37</v>
      </c>
      <c r="O756" s="10">
        <v>2008</v>
      </c>
    </row>
    <row r="757" spans="3:15" s="9" customFormat="1" ht="12.75">
      <c r="C757" s="9">
        <v>4852106</v>
      </c>
      <c r="E757" s="11">
        <v>4862837</v>
      </c>
      <c r="F757" s="12">
        <v>10731</v>
      </c>
      <c r="M757" s="10"/>
      <c r="O757" s="13">
        <v>1986</v>
      </c>
    </row>
    <row r="758" spans="3:15" s="9" customFormat="1" ht="12.75">
      <c r="C758" s="9">
        <v>4852107</v>
      </c>
      <c r="E758" s="9">
        <v>4862838</v>
      </c>
      <c r="F758" s="12">
        <v>10731</v>
      </c>
      <c r="K758" s="9">
        <v>832</v>
      </c>
      <c r="L758" s="9">
        <v>155275</v>
      </c>
      <c r="M758" s="10">
        <v>1974</v>
      </c>
      <c r="N758" s="9" t="s">
        <v>37</v>
      </c>
      <c r="O758" s="10"/>
    </row>
    <row r="759" spans="3:16" s="9" customFormat="1" ht="12.75">
      <c r="C759" s="198">
        <v>4852114</v>
      </c>
      <c r="E759" s="201">
        <v>4862845</v>
      </c>
      <c r="F759" s="12">
        <f>E759-C759</f>
        <v>10731</v>
      </c>
      <c r="K759" s="198">
        <v>832</v>
      </c>
      <c r="L759" s="198">
        <v>155282</v>
      </c>
      <c r="M759" s="10">
        <v>1974</v>
      </c>
      <c r="N759" s="198" t="s">
        <v>37</v>
      </c>
      <c r="O759" s="10" t="s">
        <v>148</v>
      </c>
      <c r="P759" s="9" t="s">
        <v>22</v>
      </c>
    </row>
    <row r="760" spans="3:15" s="9" customFormat="1" ht="12.75">
      <c r="C760" s="9">
        <v>4852116</v>
      </c>
      <c r="E760" s="11">
        <v>4862847</v>
      </c>
      <c r="F760" s="12">
        <f>E760-C760</f>
        <v>10731</v>
      </c>
      <c r="K760" s="9">
        <v>832</v>
      </c>
      <c r="L760" s="9">
        <v>155284</v>
      </c>
      <c r="M760" s="10">
        <v>1974</v>
      </c>
      <c r="N760" s="9" t="s">
        <v>37</v>
      </c>
      <c r="O760" s="10" t="s">
        <v>202</v>
      </c>
    </row>
    <row r="761" spans="3:15" s="9" customFormat="1" ht="12.75">
      <c r="C761" s="9">
        <v>4852118</v>
      </c>
      <c r="E761" s="11">
        <v>4862849</v>
      </c>
      <c r="F761" s="12">
        <f>E761-C761</f>
        <v>10731</v>
      </c>
      <c r="K761" s="9">
        <v>832</v>
      </c>
      <c r="L761" s="9">
        <v>155286</v>
      </c>
      <c r="M761" s="10">
        <v>1974</v>
      </c>
      <c r="N761" s="9" t="s">
        <v>37</v>
      </c>
      <c r="O761" s="10">
        <v>2009</v>
      </c>
    </row>
    <row r="762" spans="3:15" s="9" customFormat="1" ht="12.75">
      <c r="C762" s="9">
        <v>4852120</v>
      </c>
      <c r="E762" s="11">
        <v>4862851</v>
      </c>
      <c r="F762" s="12">
        <f>E762-C762</f>
        <v>10731</v>
      </c>
      <c r="K762" s="9">
        <f>1120-288</f>
        <v>832</v>
      </c>
      <c r="L762" s="9">
        <v>155288</v>
      </c>
      <c r="M762" s="10">
        <v>1974</v>
      </c>
      <c r="N762" s="9" t="s">
        <v>37</v>
      </c>
      <c r="O762" s="10">
        <v>2008</v>
      </c>
    </row>
    <row r="763" spans="3:15" s="9" customFormat="1" ht="12.75">
      <c r="C763" s="198">
        <v>4852125</v>
      </c>
      <c r="E763" s="11">
        <v>4862856</v>
      </c>
      <c r="F763" s="200">
        <f>E763-C763</f>
        <v>10731</v>
      </c>
      <c r="K763" s="198">
        <v>832</v>
      </c>
      <c r="L763" s="198">
        <v>155293</v>
      </c>
      <c r="M763" s="10">
        <v>1974</v>
      </c>
      <c r="N763" s="198" t="s">
        <v>37</v>
      </c>
      <c r="O763" s="10">
        <v>2011</v>
      </c>
    </row>
    <row r="764" spans="3:15" s="9" customFormat="1" ht="12.75">
      <c r="C764" s="9">
        <v>4852126</v>
      </c>
      <c r="E764" s="11">
        <v>4862857</v>
      </c>
      <c r="F764" s="12">
        <v>10731</v>
      </c>
      <c r="K764" s="9">
        <v>832</v>
      </c>
      <c r="L764" s="9">
        <v>155294</v>
      </c>
      <c r="M764" s="10">
        <v>1974</v>
      </c>
      <c r="N764" s="9" t="s">
        <v>37</v>
      </c>
      <c r="O764" s="10">
        <v>2008</v>
      </c>
    </row>
    <row r="765" spans="3:15" s="9" customFormat="1" ht="12.75">
      <c r="C765" s="9">
        <v>4852131</v>
      </c>
      <c r="E765" s="11">
        <v>4862862</v>
      </c>
      <c r="F765" s="12">
        <f aca="true" t="shared" si="20" ref="F765:F776">E765-C765</f>
        <v>10731</v>
      </c>
      <c r="K765" s="9">
        <v>832</v>
      </c>
      <c r="L765" s="9">
        <v>155299</v>
      </c>
      <c r="M765" s="10">
        <v>1974</v>
      </c>
      <c r="N765" s="9" t="s">
        <v>37</v>
      </c>
      <c r="O765" s="10">
        <v>2008</v>
      </c>
    </row>
    <row r="766" spans="3:15" s="9" customFormat="1" ht="12.75">
      <c r="C766" s="198">
        <v>4852133</v>
      </c>
      <c r="E766" s="11">
        <v>4862864</v>
      </c>
      <c r="F766" s="200">
        <f t="shared" si="20"/>
        <v>10731</v>
      </c>
      <c r="K766" s="198">
        <v>832</v>
      </c>
      <c r="L766" s="198">
        <v>155301</v>
      </c>
      <c r="M766" s="10">
        <v>1974</v>
      </c>
      <c r="N766" s="198" t="s">
        <v>37</v>
      </c>
      <c r="O766" s="10">
        <v>2012</v>
      </c>
    </row>
    <row r="767" spans="3:15" s="9" customFormat="1" ht="12.75">
      <c r="C767" s="198">
        <v>4852134</v>
      </c>
      <c r="E767" s="11">
        <v>4862865</v>
      </c>
      <c r="F767" s="12">
        <f t="shared" si="20"/>
        <v>10731</v>
      </c>
      <c r="K767" s="198">
        <v>832</v>
      </c>
      <c r="L767" s="198">
        <v>155302</v>
      </c>
      <c r="M767" s="10">
        <v>1974</v>
      </c>
      <c r="N767" s="198" t="s">
        <v>37</v>
      </c>
      <c r="O767" s="10">
        <v>2011</v>
      </c>
    </row>
    <row r="768" spans="3:15" s="9" customFormat="1" ht="12.75">
      <c r="C768" s="9">
        <v>4852137</v>
      </c>
      <c r="E768" s="11">
        <v>4862868</v>
      </c>
      <c r="F768" s="12">
        <f t="shared" si="20"/>
        <v>10731</v>
      </c>
      <c r="K768" s="9">
        <f>1137-305</f>
        <v>832</v>
      </c>
      <c r="L768" s="9">
        <v>155305</v>
      </c>
      <c r="M768" s="10">
        <v>1974</v>
      </c>
      <c r="N768" s="9" t="s">
        <v>37</v>
      </c>
      <c r="O768" s="10">
        <v>2006</v>
      </c>
    </row>
    <row r="769" spans="3:15" s="9" customFormat="1" ht="12.75">
      <c r="C769" s="9">
        <v>4852138</v>
      </c>
      <c r="E769" s="11">
        <v>4862869</v>
      </c>
      <c r="F769" s="12">
        <f t="shared" si="20"/>
        <v>10731</v>
      </c>
      <c r="M769" s="10"/>
      <c r="O769" s="13">
        <v>1989</v>
      </c>
    </row>
    <row r="770" spans="3:15" s="9" customFormat="1" ht="12.75">
      <c r="C770" s="9">
        <v>4852142</v>
      </c>
      <c r="E770" s="11">
        <v>4862873</v>
      </c>
      <c r="F770" s="12">
        <f t="shared" si="20"/>
        <v>10731</v>
      </c>
      <c r="K770" s="9">
        <f>1137-305</f>
        <v>832</v>
      </c>
      <c r="L770" s="9">
        <v>155310</v>
      </c>
      <c r="M770" s="13" t="s">
        <v>193</v>
      </c>
      <c r="N770" s="9" t="s">
        <v>37</v>
      </c>
      <c r="O770" s="10">
        <v>2008</v>
      </c>
    </row>
    <row r="771" spans="3:15" s="9" customFormat="1" ht="12.75">
      <c r="C771" s="9">
        <v>4852157</v>
      </c>
      <c r="E771" s="9">
        <v>4862888</v>
      </c>
      <c r="F771" s="12">
        <f t="shared" si="20"/>
        <v>10731</v>
      </c>
      <c r="K771" s="9">
        <f>1157-325</f>
        <v>832</v>
      </c>
      <c r="L771" s="9">
        <v>155325</v>
      </c>
      <c r="M771" s="10">
        <v>1974</v>
      </c>
      <c r="N771" s="9" t="s">
        <v>37</v>
      </c>
      <c r="O771" s="10"/>
    </row>
    <row r="772" spans="3:15" s="9" customFormat="1" ht="12.75">
      <c r="C772" s="9">
        <v>4852164</v>
      </c>
      <c r="E772" s="77">
        <v>4862895</v>
      </c>
      <c r="F772" s="12">
        <f t="shared" si="20"/>
        <v>10731</v>
      </c>
      <c r="K772" s="9">
        <f>1164-332</f>
        <v>832</v>
      </c>
      <c r="L772" s="9">
        <v>155332</v>
      </c>
      <c r="M772" s="10">
        <v>1974</v>
      </c>
      <c r="N772" s="9" t="s">
        <v>37</v>
      </c>
      <c r="O772" s="10">
        <v>2020</v>
      </c>
    </row>
    <row r="773" spans="3:15" s="9" customFormat="1" ht="12.75">
      <c r="C773" s="9">
        <v>4852171</v>
      </c>
      <c r="E773" s="11">
        <v>4862902</v>
      </c>
      <c r="F773" s="12">
        <f t="shared" si="20"/>
        <v>10731</v>
      </c>
      <c r="K773" s="9">
        <v>832</v>
      </c>
      <c r="L773" s="9">
        <v>155339</v>
      </c>
      <c r="M773" s="10">
        <v>1974</v>
      </c>
      <c r="N773" s="9" t="s">
        <v>37</v>
      </c>
      <c r="O773" s="10">
        <v>2008</v>
      </c>
    </row>
    <row r="774" spans="3:15" s="9" customFormat="1" ht="12.75">
      <c r="C774" s="9">
        <v>4852176</v>
      </c>
      <c r="E774" s="11">
        <v>4862907</v>
      </c>
      <c r="F774" s="12">
        <f t="shared" si="20"/>
        <v>10731</v>
      </c>
      <c r="K774" s="9">
        <f>1176-344</f>
        <v>832</v>
      </c>
      <c r="L774" s="9">
        <v>155344</v>
      </c>
      <c r="M774" s="10">
        <v>1974</v>
      </c>
      <c r="N774" s="9" t="s">
        <v>37</v>
      </c>
      <c r="O774" s="10">
        <v>2008</v>
      </c>
    </row>
    <row r="775" spans="3:15" s="9" customFormat="1" ht="12.75">
      <c r="C775" s="9">
        <v>4852185</v>
      </c>
      <c r="E775" s="11">
        <v>4862916</v>
      </c>
      <c r="F775" s="12">
        <f t="shared" si="20"/>
        <v>10731</v>
      </c>
      <c r="M775" s="10"/>
      <c r="O775" s="10">
        <v>2003</v>
      </c>
    </row>
    <row r="776" spans="3:15" s="9" customFormat="1" ht="12.75">
      <c r="C776" s="9">
        <v>4852188</v>
      </c>
      <c r="E776" s="11">
        <v>4862919</v>
      </c>
      <c r="F776" s="12">
        <f t="shared" si="20"/>
        <v>10731</v>
      </c>
      <c r="K776" s="9">
        <v>832</v>
      </c>
      <c r="L776" s="9">
        <v>155356</v>
      </c>
      <c r="M776" s="10">
        <v>1974</v>
      </c>
      <c r="N776" s="9" t="s">
        <v>37</v>
      </c>
      <c r="O776" s="10">
        <v>2008</v>
      </c>
    </row>
    <row r="777" spans="3:15" s="9" customFormat="1" ht="12.75">
      <c r="C777" s="10" t="s">
        <v>24</v>
      </c>
      <c r="E777" s="11">
        <v>4862925</v>
      </c>
      <c r="F777" s="12"/>
      <c r="L777" s="9">
        <v>155362</v>
      </c>
      <c r="M777" s="10">
        <v>1974</v>
      </c>
      <c r="N777" s="9" t="s">
        <v>37</v>
      </c>
      <c r="O777" s="10" t="s">
        <v>30</v>
      </c>
    </row>
    <row r="778" spans="3:15" s="9" customFormat="1" ht="12.75">
      <c r="C778" s="9">
        <v>4852195</v>
      </c>
      <c r="E778" s="11">
        <v>4862926</v>
      </c>
      <c r="F778" s="12">
        <f aca="true" t="shared" si="21" ref="F778:F786">E778-C778</f>
        <v>10731</v>
      </c>
      <c r="M778" s="10"/>
      <c r="O778" s="10" t="s">
        <v>164</v>
      </c>
    </row>
    <row r="779" spans="3:15" s="9" customFormat="1" ht="12.75">
      <c r="C779" s="9">
        <v>4852203</v>
      </c>
      <c r="E779" s="11">
        <v>4862934</v>
      </c>
      <c r="F779" s="12">
        <f t="shared" si="21"/>
        <v>10731</v>
      </c>
      <c r="M779" s="10">
        <v>1975</v>
      </c>
      <c r="N779" s="9" t="s">
        <v>37</v>
      </c>
      <c r="O779" s="10">
        <v>2003</v>
      </c>
    </row>
    <row r="780" spans="3:15" s="9" customFormat="1" ht="12.75">
      <c r="C780" s="9">
        <v>4852206</v>
      </c>
      <c r="E780" s="11">
        <v>4862937</v>
      </c>
      <c r="F780" s="12">
        <f t="shared" si="21"/>
        <v>10731</v>
      </c>
      <c r="K780" s="9">
        <f>1206-374</f>
        <v>832</v>
      </c>
      <c r="L780" s="9">
        <v>155374</v>
      </c>
      <c r="M780" s="10">
        <v>1975</v>
      </c>
      <c r="N780" s="9" t="s">
        <v>37</v>
      </c>
      <c r="O780" s="10">
        <v>2008</v>
      </c>
    </row>
    <row r="781" spans="3:15" s="9" customFormat="1" ht="12.75">
      <c r="C781" s="9">
        <v>4852207</v>
      </c>
      <c r="E781" s="11">
        <v>4862938</v>
      </c>
      <c r="F781" s="12">
        <f t="shared" si="21"/>
        <v>10731</v>
      </c>
      <c r="K781" s="9">
        <v>832</v>
      </c>
      <c r="L781" s="9">
        <v>155375</v>
      </c>
      <c r="M781" s="10">
        <v>1975</v>
      </c>
      <c r="N781" s="9" t="s">
        <v>37</v>
      </c>
      <c r="O781" s="10">
        <v>2009</v>
      </c>
    </row>
    <row r="782" spans="3:15" s="9" customFormat="1" ht="12.75">
      <c r="C782" s="9">
        <v>4852213</v>
      </c>
      <c r="E782" s="11">
        <v>4862944</v>
      </c>
      <c r="F782" s="12">
        <f t="shared" si="21"/>
        <v>10731</v>
      </c>
      <c r="K782" s="9">
        <v>832</v>
      </c>
      <c r="L782" s="9">
        <v>155381</v>
      </c>
      <c r="M782" s="10">
        <v>1975</v>
      </c>
      <c r="N782" s="9" t="s">
        <v>37</v>
      </c>
      <c r="O782" s="10">
        <v>2008</v>
      </c>
    </row>
    <row r="783" spans="3:15" s="9" customFormat="1" ht="12.75">
      <c r="C783" s="9">
        <v>4852216</v>
      </c>
      <c r="E783" s="11">
        <v>4862947</v>
      </c>
      <c r="F783" s="12">
        <f t="shared" si="21"/>
        <v>10731</v>
      </c>
      <c r="K783" s="9">
        <v>832</v>
      </c>
      <c r="L783" s="9">
        <v>155384</v>
      </c>
      <c r="M783" s="10">
        <v>1975</v>
      </c>
      <c r="N783" s="9" t="s">
        <v>37</v>
      </c>
      <c r="O783" s="10">
        <v>2008</v>
      </c>
    </row>
    <row r="784" spans="3:15" s="9" customFormat="1" ht="12.75">
      <c r="C784" s="9">
        <v>4852224</v>
      </c>
      <c r="E784" s="11">
        <v>4862955</v>
      </c>
      <c r="F784" s="12">
        <f t="shared" si="21"/>
        <v>10731</v>
      </c>
      <c r="K784" s="9">
        <v>832</v>
      </c>
      <c r="L784" s="9">
        <v>155392</v>
      </c>
      <c r="M784" s="10">
        <v>1975</v>
      </c>
      <c r="N784" s="9" t="s">
        <v>37</v>
      </c>
      <c r="O784" s="10">
        <v>2009</v>
      </c>
    </row>
    <row r="785" spans="3:15" s="9" customFormat="1" ht="12.75">
      <c r="C785" s="9">
        <v>4852226</v>
      </c>
      <c r="E785" s="11">
        <v>4862957</v>
      </c>
      <c r="F785" s="12">
        <f t="shared" si="21"/>
        <v>10731</v>
      </c>
      <c r="K785" s="9">
        <f>1226-394</f>
        <v>832</v>
      </c>
      <c r="L785" s="9">
        <v>155394</v>
      </c>
      <c r="M785" s="10">
        <v>1975</v>
      </c>
      <c r="N785" s="9" t="s">
        <v>37</v>
      </c>
      <c r="O785" s="10">
        <v>2007</v>
      </c>
    </row>
    <row r="786" spans="3:15" s="9" customFormat="1" ht="12.75">
      <c r="C786" s="9">
        <v>4852228</v>
      </c>
      <c r="E786" s="11">
        <v>4862959</v>
      </c>
      <c r="F786" s="12">
        <f t="shared" si="21"/>
        <v>10731</v>
      </c>
      <c r="K786" s="9">
        <v>832</v>
      </c>
      <c r="L786" s="9">
        <v>155396</v>
      </c>
      <c r="M786" s="10">
        <v>1975</v>
      </c>
      <c r="N786" s="9" t="s">
        <v>37</v>
      </c>
      <c r="O786" s="10">
        <v>2008</v>
      </c>
    </row>
    <row r="787" spans="5:15" s="9" customFormat="1" ht="12.75">
      <c r="E787" s="11">
        <v>4862961</v>
      </c>
      <c r="F787" s="12"/>
      <c r="L787" s="9">
        <v>155398</v>
      </c>
      <c r="M787" s="10">
        <v>1975</v>
      </c>
      <c r="N787" s="9" t="s">
        <v>37</v>
      </c>
      <c r="O787" s="10" t="s">
        <v>203</v>
      </c>
    </row>
    <row r="788" spans="3:15" s="9" customFormat="1" ht="12.75">
      <c r="C788" s="9">
        <v>4852232</v>
      </c>
      <c r="E788" s="11">
        <v>4862963</v>
      </c>
      <c r="F788" s="12">
        <f aca="true" t="shared" si="22" ref="F788:F795">E788-C788</f>
        <v>10731</v>
      </c>
      <c r="K788" s="9">
        <v>832</v>
      </c>
      <c r="L788" s="9">
        <v>155400</v>
      </c>
      <c r="M788" s="10">
        <v>1975</v>
      </c>
      <c r="N788" s="9" t="s">
        <v>37</v>
      </c>
      <c r="O788" s="10" t="s">
        <v>204</v>
      </c>
    </row>
    <row r="789" spans="3:15" s="9" customFormat="1" ht="12.75">
      <c r="C789" s="198">
        <v>4852233</v>
      </c>
      <c r="E789" s="11">
        <v>4862964</v>
      </c>
      <c r="F789" s="200">
        <f t="shared" si="22"/>
        <v>10731</v>
      </c>
      <c r="K789" s="198">
        <v>832</v>
      </c>
      <c r="L789" s="198">
        <v>155401</v>
      </c>
      <c r="M789" s="10">
        <v>1975</v>
      </c>
      <c r="N789" s="198" t="s">
        <v>37</v>
      </c>
      <c r="O789" s="10" t="s">
        <v>22</v>
      </c>
    </row>
    <row r="790" spans="3:15" s="9" customFormat="1" ht="12.75">
      <c r="C790" s="9">
        <v>4852235</v>
      </c>
      <c r="E790" s="11">
        <v>4862966</v>
      </c>
      <c r="F790" s="12">
        <f t="shared" si="22"/>
        <v>10731</v>
      </c>
      <c r="K790" s="9">
        <v>832</v>
      </c>
      <c r="L790" s="9">
        <v>155403</v>
      </c>
      <c r="M790" s="10">
        <v>1975</v>
      </c>
      <c r="N790" s="9" t="s">
        <v>37</v>
      </c>
      <c r="O790" s="10">
        <v>2008</v>
      </c>
    </row>
    <row r="791" spans="3:15" s="9" customFormat="1" ht="12.75">
      <c r="C791" s="9">
        <v>4852236</v>
      </c>
      <c r="E791" s="11">
        <v>4862967</v>
      </c>
      <c r="F791" s="12">
        <f t="shared" si="22"/>
        <v>10731</v>
      </c>
      <c r="K791" s="9">
        <f>1236-404</f>
        <v>832</v>
      </c>
      <c r="L791" s="9">
        <v>155404</v>
      </c>
      <c r="M791" s="10">
        <v>1975</v>
      </c>
      <c r="N791" s="9" t="s">
        <v>37</v>
      </c>
      <c r="O791" s="13" t="s">
        <v>205</v>
      </c>
    </row>
    <row r="792" spans="3:15" s="9" customFormat="1" ht="12.75">
      <c r="C792" s="9">
        <v>4852238</v>
      </c>
      <c r="E792" s="11">
        <v>4862969</v>
      </c>
      <c r="F792" s="12">
        <f t="shared" si="22"/>
        <v>10731</v>
      </c>
      <c r="M792" s="10"/>
      <c r="O792" s="10" t="s">
        <v>164</v>
      </c>
    </row>
    <row r="793" spans="3:15" s="9" customFormat="1" ht="12.75">
      <c r="C793" s="9">
        <v>4852240</v>
      </c>
      <c r="E793" s="11">
        <v>4862971</v>
      </c>
      <c r="F793" s="12">
        <f t="shared" si="22"/>
        <v>10731</v>
      </c>
      <c r="K793" s="9">
        <f>1236-404</f>
        <v>832</v>
      </c>
      <c r="L793" s="9">
        <v>155408</v>
      </c>
      <c r="M793" s="13" t="s">
        <v>206</v>
      </c>
      <c r="N793" s="9" t="s">
        <v>37</v>
      </c>
      <c r="O793" s="10">
        <v>2008</v>
      </c>
    </row>
    <row r="794" spans="3:15" s="9" customFormat="1" ht="12.75">
      <c r="C794" s="9">
        <v>4852241</v>
      </c>
      <c r="E794" s="11">
        <v>4862972</v>
      </c>
      <c r="F794" s="12">
        <f t="shared" si="22"/>
        <v>10731</v>
      </c>
      <c r="K794" s="9">
        <f>1241-409</f>
        <v>832</v>
      </c>
      <c r="L794" s="9">
        <v>155409</v>
      </c>
      <c r="M794" s="10">
        <v>1975</v>
      </c>
      <c r="N794" s="9" t="s">
        <v>37</v>
      </c>
      <c r="O794" s="10">
        <v>2008</v>
      </c>
    </row>
    <row r="795" spans="3:15" s="9" customFormat="1" ht="12.75">
      <c r="C795" s="198">
        <v>4852243</v>
      </c>
      <c r="E795" s="11">
        <v>4862974</v>
      </c>
      <c r="F795" s="200">
        <f t="shared" si="22"/>
        <v>10731</v>
      </c>
      <c r="K795" s="9">
        <v>832</v>
      </c>
      <c r="L795" s="198">
        <v>155411</v>
      </c>
      <c r="M795" s="10">
        <v>1975</v>
      </c>
      <c r="N795" s="198" t="s">
        <v>37</v>
      </c>
      <c r="O795" s="10">
        <v>2010</v>
      </c>
    </row>
    <row r="796" spans="3:15" s="9" customFormat="1" ht="12.75">
      <c r="C796" s="9">
        <v>4852246</v>
      </c>
      <c r="E796" s="11">
        <v>4862977</v>
      </c>
      <c r="F796" s="12">
        <v>10731</v>
      </c>
      <c r="H796" s="10"/>
      <c r="I796" s="10"/>
      <c r="J796" s="10"/>
      <c r="K796" s="9">
        <f>1246-414</f>
        <v>832</v>
      </c>
      <c r="L796" s="10">
        <v>155414</v>
      </c>
      <c r="M796" s="10">
        <v>1975</v>
      </c>
      <c r="N796" s="9" t="s">
        <v>37</v>
      </c>
      <c r="O796" s="10" t="s">
        <v>207</v>
      </c>
    </row>
    <row r="797" spans="3:15" s="2" customFormat="1" ht="13.5" thickBot="1">
      <c r="C797" s="2">
        <v>4852249</v>
      </c>
      <c r="E797" s="3">
        <v>4862980</v>
      </c>
      <c r="F797" s="4">
        <v>10731</v>
      </c>
      <c r="H797" s="6"/>
      <c r="I797" s="6"/>
      <c r="J797" s="6"/>
      <c r="L797" s="140" t="s">
        <v>208</v>
      </c>
      <c r="M797" s="6"/>
      <c r="N797" s="2" t="s">
        <v>209</v>
      </c>
      <c r="O797" s="6" t="s">
        <v>164</v>
      </c>
    </row>
    <row r="798" spans="2:15" s="9" customFormat="1" ht="12.75">
      <c r="B798" s="9" t="s">
        <v>210</v>
      </c>
      <c r="C798" s="9">
        <v>4852250</v>
      </c>
      <c r="E798" s="11">
        <v>4862981</v>
      </c>
      <c r="F798" s="12">
        <v>10731</v>
      </c>
      <c r="H798" s="10"/>
      <c r="I798" s="10"/>
      <c r="J798" s="10"/>
      <c r="L798" s="155" t="s">
        <v>211</v>
      </c>
      <c r="M798" s="10"/>
      <c r="N798" s="9" t="s">
        <v>96</v>
      </c>
      <c r="O798" s="10" t="s">
        <v>212</v>
      </c>
    </row>
    <row r="799" spans="3:15" s="9" customFormat="1" ht="12.75">
      <c r="C799" s="9">
        <v>4852256</v>
      </c>
      <c r="E799" s="11">
        <v>4862987</v>
      </c>
      <c r="F799" s="12">
        <f aca="true" t="shared" si="23" ref="F799:F826">E799-C799</f>
        <v>10731</v>
      </c>
      <c r="K799" s="9">
        <f>1256-586</f>
        <v>670</v>
      </c>
      <c r="L799" s="9">
        <v>33586</v>
      </c>
      <c r="M799" s="10">
        <v>1975</v>
      </c>
      <c r="N799" s="9" t="s">
        <v>96</v>
      </c>
      <c r="O799" s="10">
        <v>2006</v>
      </c>
    </row>
    <row r="800" spans="3:15" s="9" customFormat="1" ht="12.75">
      <c r="C800" s="9">
        <v>4852262</v>
      </c>
      <c r="E800" s="11">
        <v>4862993</v>
      </c>
      <c r="F800" s="12">
        <f t="shared" si="23"/>
        <v>10731</v>
      </c>
      <c r="M800" s="13" t="s">
        <v>213</v>
      </c>
      <c r="N800" s="9" t="s">
        <v>171</v>
      </c>
      <c r="O800" s="10">
        <v>2008</v>
      </c>
    </row>
    <row r="801" spans="3:15" s="9" customFormat="1" ht="12.75">
      <c r="C801" s="9">
        <v>4852267</v>
      </c>
      <c r="E801" s="11">
        <v>4862998</v>
      </c>
      <c r="F801" s="12">
        <f t="shared" si="23"/>
        <v>10731</v>
      </c>
      <c r="M801" s="13" t="s">
        <v>213</v>
      </c>
      <c r="N801" s="9" t="s">
        <v>214</v>
      </c>
      <c r="O801" s="10">
        <v>2008</v>
      </c>
    </row>
    <row r="802" spans="3:15" s="9" customFormat="1" ht="12.75">
      <c r="C802" s="9">
        <v>4852269</v>
      </c>
      <c r="E802" s="11">
        <v>4863000</v>
      </c>
      <c r="F802" s="12">
        <f t="shared" si="23"/>
        <v>10731</v>
      </c>
      <c r="K802" s="9">
        <f>1269-599</f>
        <v>670</v>
      </c>
      <c r="L802" s="9">
        <v>33599</v>
      </c>
      <c r="M802" s="10">
        <v>1975</v>
      </c>
      <c r="N802" s="9" t="s">
        <v>96</v>
      </c>
      <c r="O802" s="10">
        <v>2006</v>
      </c>
    </row>
    <row r="803" spans="3:15" s="9" customFormat="1" ht="12.75">
      <c r="C803" s="9">
        <v>4852270</v>
      </c>
      <c r="E803" s="11">
        <v>4863001</v>
      </c>
      <c r="F803" s="12">
        <f t="shared" si="23"/>
        <v>10731</v>
      </c>
      <c r="K803" s="9">
        <v>670</v>
      </c>
      <c r="L803" s="9">
        <v>33600</v>
      </c>
      <c r="M803" s="10">
        <v>1975</v>
      </c>
      <c r="N803" s="9" t="s">
        <v>96</v>
      </c>
      <c r="O803" s="10">
        <v>2008</v>
      </c>
    </row>
    <row r="804" spans="3:15" s="9" customFormat="1" ht="12.75">
      <c r="C804" s="9">
        <v>4852271</v>
      </c>
      <c r="E804" s="11">
        <v>4863002</v>
      </c>
      <c r="F804" s="12">
        <f t="shared" si="23"/>
        <v>10731</v>
      </c>
      <c r="M804" s="10"/>
      <c r="O804" s="13">
        <v>1986</v>
      </c>
    </row>
    <row r="805" spans="3:15" s="9" customFormat="1" ht="12.75">
      <c r="C805" s="198">
        <v>4852272</v>
      </c>
      <c r="E805" s="11">
        <v>4863003</v>
      </c>
      <c r="F805" s="200">
        <f t="shared" si="23"/>
        <v>10731</v>
      </c>
      <c r="K805" s="9">
        <v>670</v>
      </c>
      <c r="L805" s="9">
        <v>33602</v>
      </c>
      <c r="M805" s="13" t="s">
        <v>213</v>
      </c>
      <c r="N805" s="198" t="s">
        <v>96</v>
      </c>
      <c r="O805" s="13">
        <v>2011</v>
      </c>
    </row>
    <row r="806" spans="3:15" s="9" customFormat="1" ht="12.75">
      <c r="C806" s="9">
        <v>4852273</v>
      </c>
      <c r="E806" s="11">
        <v>4863004</v>
      </c>
      <c r="F806" s="12">
        <f t="shared" si="23"/>
        <v>10731</v>
      </c>
      <c r="K806" s="9">
        <f>1273-603</f>
        <v>670</v>
      </c>
      <c r="L806" s="9">
        <v>33603</v>
      </c>
      <c r="M806" s="10">
        <v>1975</v>
      </c>
      <c r="N806" s="9" t="s">
        <v>96</v>
      </c>
      <c r="O806" s="10">
        <v>2006</v>
      </c>
    </row>
    <row r="807" spans="3:15" s="9" customFormat="1" ht="12.75">
      <c r="C807" s="9">
        <v>4852274</v>
      </c>
      <c r="E807" s="11">
        <v>4863005</v>
      </c>
      <c r="F807" s="12">
        <f t="shared" si="23"/>
        <v>10731</v>
      </c>
      <c r="K807" s="9">
        <v>670</v>
      </c>
      <c r="L807" s="9">
        <v>33604</v>
      </c>
      <c r="M807" s="13" t="s">
        <v>213</v>
      </c>
      <c r="N807" s="9" t="s">
        <v>96</v>
      </c>
      <c r="O807" s="10">
        <v>2008</v>
      </c>
    </row>
    <row r="808" spans="3:15" s="9" customFormat="1" ht="12.75">
      <c r="C808" s="9">
        <v>4852275</v>
      </c>
      <c r="E808" s="11">
        <v>4863006</v>
      </c>
      <c r="F808" s="12">
        <f t="shared" si="23"/>
        <v>10731</v>
      </c>
      <c r="M808" s="13" t="s">
        <v>213</v>
      </c>
      <c r="N808" s="9" t="s">
        <v>171</v>
      </c>
      <c r="O808" s="13" t="s">
        <v>205</v>
      </c>
    </row>
    <row r="809" spans="3:15" s="9" customFormat="1" ht="12.75">
      <c r="C809" s="198">
        <v>4852281</v>
      </c>
      <c r="E809" s="11">
        <v>4863012</v>
      </c>
      <c r="F809" s="200">
        <f t="shared" si="23"/>
        <v>10731</v>
      </c>
      <c r="M809" s="13"/>
      <c r="O809" s="13">
        <v>2020</v>
      </c>
    </row>
    <row r="810" spans="3:15" s="9" customFormat="1" ht="12.75">
      <c r="C810" s="9">
        <v>4852282</v>
      </c>
      <c r="E810" s="11">
        <v>4863013</v>
      </c>
      <c r="F810" s="12">
        <f t="shared" si="23"/>
        <v>10731</v>
      </c>
      <c r="M810" s="13" t="s">
        <v>213</v>
      </c>
      <c r="N810" s="9" t="s">
        <v>171</v>
      </c>
      <c r="O810" s="10">
        <v>2008</v>
      </c>
    </row>
    <row r="811" spans="3:15" s="9" customFormat="1" ht="12.75">
      <c r="C811" s="9">
        <v>4852284</v>
      </c>
      <c r="E811" s="11">
        <v>4863015</v>
      </c>
      <c r="F811" s="12">
        <f t="shared" si="23"/>
        <v>10731</v>
      </c>
      <c r="M811" s="13"/>
      <c r="O811" s="10" t="s">
        <v>164</v>
      </c>
    </row>
    <row r="812" spans="3:15" s="9" customFormat="1" ht="12.75">
      <c r="C812" s="9">
        <v>4852289</v>
      </c>
      <c r="E812" s="11">
        <v>4863020</v>
      </c>
      <c r="F812" s="12">
        <f t="shared" si="23"/>
        <v>10731</v>
      </c>
      <c r="M812" s="10"/>
      <c r="O812" s="10">
        <v>2006</v>
      </c>
    </row>
    <row r="813" spans="3:15" s="9" customFormat="1" ht="12.75">
      <c r="C813" s="9">
        <v>4852290</v>
      </c>
      <c r="E813" s="11">
        <v>4863021</v>
      </c>
      <c r="F813" s="12">
        <f t="shared" si="23"/>
        <v>10731</v>
      </c>
      <c r="K813" s="9">
        <f>1290-622</f>
        <v>668</v>
      </c>
      <c r="L813" s="9">
        <v>33622</v>
      </c>
      <c r="M813" s="10">
        <v>1975</v>
      </c>
      <c r="N813" s="9" t="s">
        <v>96</v>
      </c>
      <c r="O813" s="10">
        <v>2007</v>
      </c>
    </row>
    <row r="814" spans="3:15" s="9" customFormat="1" ht="12.75">
      <c r="C814" s="9">
        <v>4852297</v>
      </c>
      <c r="E814" s="11">
        <v>4863028</v>
      </c>
      <c r="F814" s="12">
        <f t="shared" si="23"/>
        <v>10731</v>
      </c>
      <c r="K814" s="9">
        <f>1297-627</f>
        <v>670</v>
      </c>
      <c r="L814" s="9">
        <v>33627</v>
      </c>
      <c r="M814" s="10">
        <v>1975</v>
      </c>
      <c r="N814" s="9" t="s">
        <v>215</v>
      </c>
      <c r="O814" s="10">
        <v>2006</v>
      </c>
    </row>
    <row r="815" spans="3:15" s="9" customFormat="1" ht="12.75">
      <c r="C815" s="9">
        <v>4852298</v>
      </c>
      <c r="E815" s="11">
        <v>4863029</v>
      </c>
      <c r="F815" s="12">
        <f t="shared" si="23"/>
        <v>10731</v>
      </c>
      <c r="M815" s="13" t="s">
        <v>206</v>
      </c>
      <c r="N815" s="9" t="s">
        <v>171</v>
      </c>
      <c r="O815" s="10">
        <v>2009</v>
      </c>
    </row>
    <row r="816" spans="3:15" s="9" customFormat="1" ht="12.75">
      <c r="C816" s="9">
        <v>4852299</v>
      </c>
      <c r="E816" s="11">
        <v>4863030</v>
      </c>
      <c r="F816" s="12">
        <f t="shared" si="23"/>
        <v>10731</v>
      </c>
      <c r="K816" s="9">
        <v>670</v>
      </c>
      <c r="L816" s="9">
        <v>33629</v>
      </c>
      <c r="M816" s="10">
        <v>1975</v>
      </c>
      <c r="N816" s="9" t="s">
        <v>96</v>
      </c>
      <c r="O816" s="10">
        <v>2008</v>
      </c>
    </row>
    <row r="817" spans="3:15" s="9" customFormat="1" ht="12.75">
      <c r="C817" s="9">
        <v>4852301</v>
      </c>
      <c r="E817" s="11">
        <v>4863032</v>
      </c>
      <c r="F817" s="12">
        <f t="shared" si="23"/>
        <v>10731</v>
      </c>
      <c r="M817" s="10">
        <v>1975</v>
      </c>
      <c r="N817" s="9" t="s">
        <v>96</v>
      </c>
      <c r="O817" s="10">
        <v>2009</v>
      </c>
    </row>
    <row r="818" spans="3:15" s="9" customFormat="1" ht="12.75">
      <c r="C818" s="9">
        <v>4852303</v>
      </c>
      <c r="E818" s="11">
        <v>4863034</v>
      </c>
      <c r="F818" s="12">
        <f t="shared" si="23"/>
        <v>10731</v>
      </c>
      <c r="G818" s="9" t="s">
        <v>216</v>
      </c>
      <c r="M818" s="13" t="s">
        <v>206</v>
      </c>
      <c r="O818" s="10">
        <v>2008</v>
      </c>
    </row>
    <row r="819" spans="2:15" s="9" customFormat="1" ht="12.75">
      <c r="B819" s="13"/>
      <c r="C819" s="9">
        <v>4852305</v>
      </c>
      <c r="E819" s="11">
        <v>4863036</v>
      </c>
      <c r="F819" s="12">
        <f t="shared" si="23"/>
        <v>10731</v>
      </c>
      <c r="K819" s="9">
        <v>670</v>
      </c>
      <c r="L819" s="9">
        <v>33635</v>
      </c>
      <c r="M819" s="10">
        <v>1975</v>
      </c>
      <c r="N819" s="9" t="s">
        <v>96</v>
      </c>
      <c r="O819" s="10">
        <v>2007</v>
      </c>
    </row>
    <row r="820" spans="3:15" s="9" customFormat="1" ht="12.75">
      <c r="C820" s="9">
        <v>4852307</v>
      </c>
      <c r="E820" s="11">
        <v>4863038</v>
      </c>
      <c r="F820" s="12">
        <f t="shared" si="23"/>
        <v>10731</v>
      </c>
      <c r="K820" s="9">
        <f>1307-637</f>
        <v>670</v>
      </c>
      <c r="L820" s="9">
        <v>33637</v>
      </c>
      <c r="M820" s="10">
        <v>1975</v>
      </c>
      <c r="N820" s="9" t="s">
        <v>96</v>
      </c>
      <c r="O820" s="10">
        <v>2007</v>
      </c>
    </row>
    <row r="821" spans="3:15" s="9" customFormat="1" ht="12.75">
      <c r="C821" s="198">
        <v>4852309</v>
      </c>
      <c r="E821" s="11">
        <v>4863040</v>
      </c>
      <c r="F821" s="200">
        <f t="shared" si="23"/>
        <v>10731</v>
      </c>
      <c r="K821" s="9">
        <v>670</v>
      </c>
      <c r="L821" s="198">
        <v>33639</v>
      </c>
      <c r="M821" s="13" t="s">
        <v>206</v>
      </c>
      <c r="N821" s="198" t="s">
        <v>96</v>
      </c>
      <c r="O821" s="10" t="s">
        <v>217</v>
      </c>
    </row>
    <row r="822" spans="3:15" s="9" customFormat="1" ht="12.75">
      <c r="C822" s="9">
        <v>4852310</v>
      </c>
      <c r="E822" s="11">
        <v>4863041</v>
      </c>
      <c r="F822" s="12">
        <f t="shared" si="23"/>
        <v>10731</v>
      </c>
      <c r="K822" s="9">
        <v>670</v>
      </c>
      <c r="L822" s="9">
        <v>33640</v>
      </c>
      <c r="M822" s="13" t="s">
        <v>206</v>
      </c>
      <c r="N822" s="9" t="s">
        <v>96</v>
      </c>
      <c r="O822" s="10">
        <v>2009</v>
      </c>
    </row>
    <row r="823" spans="3:15" s="9" customFormat="1" ht="12.75">
      <c r="C823" s="9">
        <v>4852311</v>
      </c>
      <c r="E823" s="11">
        <v>4863042</v>
      </c>
      <c r="F823" s="12">
        <f t="shared" si="23"/>
        <v>10731</v>
      </c>
      <c r="M823" s="10">
        <v>1975</v>
      </c>
      <c r="O823" s="10">
        <v>2006</v>
      </c>
    </row>
    <row r="824" spans="3:15" s="9" customFormat="1" ht="12.75">
      <c r="C824" s="9">
        <v>4852317</v>
      </c>
      <c r="E824" s="11">
        <v>4863048</v>
      </c>
      <c r="F824" s="12">
        <f t="shared" si="23"/>
        <v>10731</v>
      </c>
      <c r="K824" s="9">
        <v>670</v>
      </c>
      <c r="L824" s="9">
        <v>33647</v>
      </c>
      <c r="M824" s="10">
        <v>1975</v>
      </c>
      <c r="N824" s="9" t="s">
        <v>96</v>
      </c>
      <c r="O824" s="10" t="s">
        <v>51</v>
      </c>
    </row>
    <row r="825" spans="3:15" s="9" customFormat="1" ht="12.75">
      <c r="C825" s="9">
        <v>4852320</v>
      </c>
      <c r="E825" s="11">
        <v>4863051</v>
      </c>
      <c r="F825" s="12">
        <f t="shared" si="23"/>
        <v>10731</v>
      </c>
      <c r="K825" s="9">
        <f>1320-650</f>
        <v>670</v>
      </c>
      <c r="L825" s="9">
        <v>33650</v>
      </c>
      <c r="M825" s="13" t="s">
        <v>218</v>
      </c>
      <c r="N825" s="9" t="s">
        <v>171</v>
      </c>
      <c r="O825" s="10">
        <v>2008</v>
      </c>
    </row>
    <row r="826" spans="3:15" s="9" customFormat="1" ht="12.75">
      <c r="C826" s="9">
        <v>4852321</v>
      </c>
      <c r="E826" s="11">
        <v>4863052</v>
      </c>
      <c r="F826" s="12">
        <f t="shared" si="23"/>
        <v>10731</v>
      </c>
      <c r="M826" s="10"/>
      <c r="O826" s="10">
        <v>2006</v>
      </c>
    </row>
    <row r="827" spans="3:15" s="9" customFormat="1" ht="12.75">
      <c r="C827" s="9">
        <v>4852323</v>
      </c>
      <c r="E827" s="11">
        <v>4863054</v>
      </c>
      <c r="F827" s="12">
        <v>10731</v>
      </c>
      <c r="M827" s="13" t="s">
        <v>218</v>
      </c>
      <c r="N827" s="9" t="s">
        <v>171</v>
      </c>
      <c r="O827" s="10">
        <v>2008</v>
      </c>
    </row>
    <row r="828" spans="3:15" s="9" customFormat="1" ht="12.75">
      <c r="C828" s="10" t="s">
        <v>24</v>
      </c>
      <c r="E828" s="11">
        <v>4863059</v>
      </c>
      <c r="F828" s="12"/>
      <c r="L828" s="9">
        <v>33658</v>
      </c>
      <c r="M828" s="13">
        <v>1975</v>
      </c>
      <c r="N828" s="9" t="s">
        <v>96</v>
      </c>
      <c r="O828" s="10" t="s">
        <v>30</v>
      </c>
    </row>
    <row r="829" spans="3:15" s="9" customFormat="1" ht="12.75">
      <c r="C829" s="9">
        <v>4852329</v>
      </c>
      <c r="E829" s="11">
        <v>4863060</v>
      </c>
      <c r="F829" s="12">
        <v>10731</v>
      </c>
      <c r="K829" s="9">
        <v>670</v>
      </c>
      <c r="L829" s="9">
        <v>33659</v>
      </c>
      <c r="M829" s="13" t="s">
        <v>218</v>
      </c>
      <c r="N829" s="9" t="s">
        <v>171</v>
      </c>
      <c r="O829" s="10">
        <v>2008</v>
      </c>
    </row>
    <row r="830" spans="3:15" s="9" customFormat="1" ht="12.75">
      <c r="C830" s="9">
        <v>4852332</v>
      </c>
      <c r="E830" s="11">
        <v>4863063</v>
      </c>
      <c r="F830" s="12">
        <f aca="true" t="shared" si="24" ref="F830:F835">E830-C830</f>
        <v>10731</v>
      </c>
      <c r="K830" s="9">
        <f>1332-662</f>
        <v>670</v>
      </c>
      <c r="L830" s="9">
        <v>33662</v>
      </c>
      <c r="M830" s="13" t="s">
        <v>218</v>
      </c>
      <c r="N830" s="9" t="s">
        <v>96</v>
      </c>
      <c r="O830" s="10">
        <v>2008</v>
      </c>
    </row>
    <row r="831" spans="3:15" s="9" customFormat="1" ht="12.75">
      <c r="C831" s="9">
        <v>4852333</v>
      </c>
      <c r="E831" s="11">
        <v>4863064</v>
      </c>
      <c r="F831" s="12">
        <f t="shared" si="24"/>
        <v>10731</v>
      </c>
      <c r="M831" s="13" t="s">
        <v>218</v>
      </c>
      <c r="N831" s="9" t="s">
        <v>171</v>
      </c>
      <c r="O831" s="10">
        <v>2008</v>
      </c>
    </row>
    <row r="832" spans="3:15" s="9" customFormat="1" ht="12.75">
      <c r="C832" s="198">
        <v>4852336</v>
      </c>
      <c r="E832" s="11">
        <v>4863067</v>
      </c>
      <c r="F832" s="12">
        <f t="shared" si="24"/>
        <v>10731</v>
      </c>
      <c r="K832" s="9">
        <v>670</v>
      </c>
      <c r="L832" s="198">
        <v>33666</v>
      </c>
      <c r="M832" s="13">
        <v>1975</v>
      </c>
      <c r="N832" s="198" t="s">
        <v>96</v>
      </c>
      <c r="O832" s="10"/>
    </row>
    <row r="833" spans="3:15" s="9" customFormat="1" ht="12.75">
      <c r="C833" s="9">
        <v>4852337</v>
      </c>
      <c r="E833" s="11">
        <v>4863068</v>
      </c>
      <c r="F833" s="12">
        <f t="shared" si="24"/>
        <v>10731</v>
      </c>
      <c r="M833" s="10">
        <v>1975</v>
      </c>
      <c r="N833" s="9" t="s">
        <v>171</v>
      </c>
      <c r="O833" s="10">
        <v>2007</v>
      </c>
    </row>
    <row r="834" spans="3:15" s="9" customFormat="1" ht="12.75">
      <c r="C834" s="9">
        <v>4852340</v>
      </c>
      <c r="E834" s="11">
        <v>4863071</v>
      </c>
      <c r="F834" s="12">
        <f t="shared" si="24"/>
        <v>10731</v>
      </c>
      <c r="M834" s="10"/>
      <c r="O834" s="10">
        <v>2007</v>
      </c>
    </row>
    <row r="835" spans="3:15" s="9" customFormat="1" ht="12.75">
      <c r="C835" s="9">
        <v>4852347</v>
      </c>
      <c r="E835" s="11">
        <v>4863078</v>
      </c>
      <c r="F835" s="12">
        <f t="shared" si="24"/>
        <v>10731</v>
      </c>
      <c r="K835" s="9">
        <f>1347-677</f>
        <v>670</v>
      </c>
      <c r="L835" s="9">
        <v>33677</v>
      </c>
      <c r="M835" s="13" t="s">
        <v>218</v>
      </c>
      <c r="N835" s="9" t="s">
        <v>96</v>
      </c>
      <c r="O835" s="41">
        <v>1993</v>
      </c>
    </row>
    <row r="836" spans="3:15" s="2" customFormat="1" ht="13.5" thickBot="1">
      <c r="C836" s="186">
        <v>4852349</v>
      </c>
      <c r="D836" s="150"/>
      <c r="E836" s="152"/>
      <c r="F836" s="150"/>
      <c r="G836" s="150"/>
      <c r="H836" s="150"/>
      <c r="I836" s="150"/>
      <c r="J836" s="150"/>
      <c r="K836" s="150"/>
      <c r="L836" s="187" t="s">
        <v>219</v>
      </c>
      <c r="M836" s="156"/>
      <c r="N836" s="189" t="s">
        <v>96</v>
      </c>
      <c r="O836" s="7"/>
    </row>
    <row r="837" spans="3:15" s="9" customFormat="1" ht="12.75">
      <c r="C837" s="184">
        <v>4852350</v>
      </c>
      <c r="D837" s="148"/>
      <c r="E837" s="157"/>
      <c r="F837" s="148"/>
      <c r="G837" s="148"/>
      <c r="H837" s="148"/>
      <c r="I837" s="148"/>
      <c r="J837" s="148"/>
      <c r="K837" s="148"/>
      <c r="L837" s="185" t="s">
        <v>220</v>
      </c>
      <c r="M837" s="13"/>
      <c r="N837" s="9" t="s">
        <v>16</v>
      </c>
      <c r="O837" s="41"/>
    </row>
    <row r="838" spans="3:15" s="9" customFormat="1" ht="12.75">
      <c r="C838" s="9">
        <v>4852353</v>
      </c>
      <c r="E838" s="11">
        <v>4863084</v>
      </c>
      <c r="F838" s="12">
        <f>E838-C838</f>
        <v>10731</v>
      </c>
      <c r="K838" s="9">
        <f>353-4</f>
        <v>349</v>
      </c>
      <c r="L838" s="13" t="s">
        <v>221</v>
      </c>
      <c r="M838" s="10">
        <v>1975</v>
      </c>
      <c r="N838" s="9" t="s">
        <v>16</v>
      </c>
      <c r="O838" s="10" t="s">
        <v>222</v>
      </c>
    </row>
    <row r="839" spans="3:15" s="9" customFormat="1" ht="12.75">
      <c r="C839" s="9">
        <v>4852356</v>
      </c>
      <c r="E839" s="11">
        <v>4863087</v>
      </c>
      <c r="F839" s="12">
        <f>E839-C839</f>
        <v>10731</v>
      </c>
      <c r="K839" s="9">
        <v>349</v>
      </c>
      <c r="L839" s="13" t="s">
        <v>223</v>
      </c>
      <c r="M839" s="10">
        <v>1975</v>
      </c>
      <c r="N839" s="9" t="s">
        <v>16</v>
      </c>
      <c r="O839" s="10">
        <v>2009</v>
      </c>
    </row>
    <row r="840" spans="3:15" s="9" customFormat="1" ht="12.75">
      <c r="C840" s="9">
        <v>4852360</v>
      </c>
      <c r="E840" s="11">
        <v>4863091</v>
      </c>
      <c r="F840" s="12">
        <f>E840-C840</f>
        <v>10731</v>
      </c>
      <c r="K840" s="9">
        <f>360-11</f>
        <v>349</v>
      </c>
      <c r="L840" s="13">
        <v>11</v>
      </c>
      <c r="M840" s="10">
        <v>1975</v>
      </c>
      <c r="N840" s="9" t="s">
        <v>16</v>
      </c>
      <c r="O840" s="10">
        <v>2008</v>
      </c>
    </row>
    <row r="841" spans="3:15" s="9" customFormat="1" ht="12.75">
      <c r="C841" s="9">
        <v>4852361</v>
      </c>
      <c r="E841" s="11">
        <v>4863092</v>
      </c>
      <c r="F841" s="12">
        <f>E841-C841</f>
        <v>10731</v>
      </c>
      <c r="K841" s="9">
        <v>349</v>
      </c>
      <c r="L841" s="9">
        <v>12</v>
      </c>
      <c r="M841" s="10">
        <v>1975</v>
      </c>
      <c r="N841" s="9" t="s">
        <v>16</v>
      </c>
      <c r="O841" s="10">
        <v>2007</v>
      </c>
    </row>
    <row r="842" spans="5:15" s="9" customFormat="1" ht="12.75">
      <c r="E842" s="11">
        <v>4863094</v>
      </c>
      <c r="F842" s="12"/>
      <c r="L842" s="9">
        <v>14</v>
      </c>
      <c r="M842" s="10">
        <v>1975</v>
      </c>
      <c r="N842" s="9" t="s">
        <v>16</v>
      </c>
      <c r="O842" s="10">
        <v>2009</v>
      </c>
    </row>
    <row r="843" spans="3:15" s="9" customFormat="1" ht="12.75">
      <c r="C843" s="9">
        <v>4852364</v>
      </c>
      <c r="E843" s="11">
        <v>4863095</v>
      </c>
      <c r="F843" s="12">
        <f aca="true" t="shared" si="25" ref="F843:F853">E843-C843</f>
        <v>10731</v>
      </c>
      <c r="K843" s="9">
        <v>349</v>
      </c>
      <c r="L843" s="9">
        <v>15</v>
      </c>
      <c r="M843" s="10">
        <v>1975</v>
      </c>
      <c r="N843" s="9" t="s">
        <v>16</v>
      </c>
      <c r="O843" s="10" t="s">
        <v>224</v>
      </c>
    </row>
    <row r="844" spans="3:15" s="9" customFormat="1" ht="12.75">
      <c r="C844" s="9">
        <v>4852371</v>
      </c>
      <c r="E844" s="11">
        <v>4863102</v>
      </c>
      <c r="F844" s="12">
        <f t="shared" si="25"/>
        <v>10731</v>
      </c>
      <c r="K844" s="9">
        <f>371-22</f>
        <v>349</v>
      </c>
      <c r="L844" s="9">
        <v>22</v>
      </c>
      <c r="M844" s="10">
        <v>1975</v>
      </c>
      <c r="N844" s="9" t="s">
        <v>16</v>
      </c>
      <c r="O844" s="10">
        <v>2008</v>
      </c>
    </row>
    <row r="845" spans="3:15" s="9" customFormat="1" ht="12.75">
      <c r="C845" s="198">
        <v>4852380</v>
      </c>
      <c r="E845" s="11">
        <v>4863111</v>
      </c>
      <c r="F845" s="200">
        <f t="shared" si="25"/>
        <v>10731</v>
      </c>
      <c r="K845" s="9">
        <v>349</v>
      </c>
      <c r="L845" s="198">
        <v>31</v>
      </c>
      <c r="M845" s="10">
        <v>1975</v>
      </c>
      <c r="N845" s="198" t="s">
        <v>16</v>
      </c>
      <c r="O845" s="10">
        <v>2010</v>
      </c>
    </row>
    <row r="846" spans="3:15" s="9" customFormat="1" ht="12.75">
      <c r="C846" s="198">
        <v>4852382</v>
      </c>
      <c r="E846" s="11">
        <v>4863113</v>
      </c>
      <c r="F846" s="200">
        <f t="shared" si="25"/>
        <v>10731</v>
      </c>
      <c r="K846" s="9">
        <v>349</v>
      </c>
      <c r="L846" s="198">
        <v>33</v>
      </c>
      <c r="M846" s="10">
        <v>1975</v>
      </c>
      <c r="N846" s="198" t="s">
        <v>16</v>
      </c>
      <c r="O846" s="10">
        <v>2009</v>
      </c>
    </row>
    <row r="847" spans="3:15" s="9" customFormat="1" ht="12.75">
      <c r="C847" s="9">
        <v>4852383</v>
      </c>
      <c r="E847" s="11">
        <v>4863114</v>
      </c>
      <c r="F847" s="12">
        <f t="shared" si="25"/>
        <v>10731</v>
      </c>
      <c r="K847" s="9">
        <f>383-34</f>
        <v>349</v>
      </c>
      <c r="L847" s="9">
        <v>34</v>
      </c>
      <c r="M847" s="10">
        <v>1975</v>
      </c>
      <c r="N847" s="9" t="s">
        <v>16</v>
      </c>
      <c r="O847" s="10">
        <v>2006</v>
      </c>
    </row>
    <row r="848" spans="1:15" s="9" customFormat="1" ht="12.75">
      <c r="A848" s="9">
        <v>2389</v>
      </c>
      <c r="C848" s="9">
        <v>4852389</v>
      </c>
      <c r="E848" s="11">
        <v>4863120</v>
      </c>
      <c r="F848" s="12">
        <f t="shared" si="25"/>
        <v>10731</v>
      </c>
      <c r="K848" s="9">
        <v>349</v>
      </c>
      <c r="L848" s="9">
        <v>40</v>
      </c>
      <c r="M848" s="10">
        <v>1975</v>
      </c>
      <c r="N848" s="9" t="s">
        <v>16</v>
      </c>
      <c r="O848" s="10">
        <v>2007</v>
      </c>
    </row>
    <row r="849" spans="3:15" s="9" customFormat="1" ht="12.75">
      <c r="C849" s="9">
        <v>4852392</v>
      </c>
      <c r="E849" s="11">
        <v>4863123</v>
      </c>
      <c r="F849" s="12">
        <f t="shared" si="25"/>
        <v>10731</v>
      </c>
      <c r="K849" s="9">
        <v>349</v>
      </c>
      <c r="L849" s="9">
        <v>43</v>
      </c>
      <c r="M849" s="10">
        <v>1975</v>
      </c>
      <c r="N849" s="9" t="s">
        <v>16</v>
      </c>
      <c r="O849" s="10">
        <v>2008</v>
      </c>
    </row>
    <row r="850" spans="3:15" s="9" customFormat="1" ht="12.75">
      <c r="C850" s="9">
        <v>4852394</v>
      </c>
      <c r="E850" s="11">
        <v>4863125</v>
      </c>
      <c r="F850" s="12">
        <f t="shared" si="25"/>
        <v>10731</v>
      </c>
      <c r="K850" s="9">
        <v>349</v>
      </c>
      <c r="L850" s="9">
        <v>45</v>
      </c>
      <c r="M850" s="10">
        <v>1975</v>
      </c>
      <c r="N850" s="9" t="s">
        <v>16</v>
      </c>
      <c r="O850" s="10" t="s">
        <v>86</v>
      </c>
    </row>
    <row r="851" spans="3:15" s="9" customFormat="1" ht="12.75">
      <c r="C851" s="9">
        <v>4852397</v>
      </c>
      <c r="E851" s="11">
        <v>4863128</v>
      </c>
      <c r="F851" s="12">
        <f t="shared" si="25"/>
        <v>10731</v>
      </c>
      <c r="M851" s="10"/>
      <c r="O851" s="10" t="s">
        <v>164</v>
      </c>
    </row>
    <row r="852" spans="3:15" s="9" customFormat="1" ht="12.75">
      <c r="C852" s="9">
        <v>4852400</v>
      </c>
      <c r="E852" s="11">
        <v>4863131</v>
      </c>
      <c r="F852" s="12">
        <f t="shared" si="25"/>
        <v>10731</v>
      </c>
      <c r="K852" s="9">
        <v>349</v>
      </c>
      <c r="L852" s="9">
        <v>51</v>
      </c>
      <c r="M852" s="10">
        <v>1975</v>
      </c>
      <c r="N852" s="9" t="s">
        <v>16</v>
      </c>
      <c r="O852" s="10">
        <v>2008</v>
      </c>
    </row>
    <row r="853" spans="3:15" s="9" customFormat="1" ht="12.75">
      <c r="C853" s="9">
        <v>4852404</v>
      </c>
      <c r="E853" s="11">
        <v>4863135</v>
      </c>
      <c r="F853" s="12">
        <f t="shared" si="25"/>
        <v>10731</v>
      </c>
      <c r="K853" s="9">
        <v>349</v>
      </c>
      <c r="L853" s="9">
        <v>55</v>
      </c>
      <c r="M853" s="10">
        <v>1975</v>
      </c>
      <c r="N853" s="9" t="s">
        <v>16</v>
      </c>
      <c r="O853" s="10">
        <v>2009</v>
      </c>
    </row>
    <row r="854" spans="3:15" s="9" customFormat="1" ht="12.75">
      <c r="C854" s="13">
        <v>4852406</v>
      </c>
      <c r="E854" s="11">
        <v>4863137</v>
      </c>
      <c r="F854" s="12">
        <v>10731</v>
      </c>
      <c r="K854" s="198">
        <v>349</v>
      </c>
      <c r="L854" s="9">
        <v>57</v>
      </c>
      <c r="M854" s="10">
        <v>1975</v>
      </c>
      <c r="N854" s="9" t="s">
        <v>16</v>
      </c>
      <c r="O854" s="10">
        <v>2008</v>
      </c>
    </row>
    <row r="855" spans="3:15" s="9" customFormat="1" ht="12.75">
      <c r="C855" s="9">
        <v>4852407</v>
      </c>
      <c r="E855" s="11">
        <v>4863138</v>
      </c>
      <c r="F855" s="12">
        <v>10731</v>
      </c>
      <c r="K855" s="9">
        <v>349</v>
      </c>
      <c r="L855" s="9">
        <v>58</v>
      </c>
      <c r="M855" s="10">
        <v>1975</v>
      </c>
      <c r="N855" s="9" t="s">
        <v>16</v>
      </c>
      <c r="O855" s="10">
        <v>2007</v>
      </c>
    </row>
    <row r="856" spans="3:15" s="9" customFormat="1" ht="12.75">
      <c r="C856" s="9">
        <v>4852416</v>
      </c>
      <c r="E856" s="11">
        <v>4863147</v>
      </c>
      <c r="F856" s="12">
        <v>10731</v>
      </c>
      <c r="K856" s="9">
        <f>416-67</f>
        <v>349</v>
      </c>
      <c r="L856" s="9">
        <v>67</v>
      </c>
      <c r="M856" s="10">
        <v>1975</v>
      </c>
      <c r="N856" s="9" t="s">
        <v>16</v>
      </c>
      <c r="O856" s="10">
        <v>2008</v>
      </c>
    </row>
    <row r="857" spans="3:15" s="9" customFormat="1" ht="12.75">
      <c r="C857" s="13">
        <v>4852422</v>
      </c>
      <c r="E857" s="11">
        <v>4863153</v>
      </c>
      <c r="F857" s="12">
        <v>10731</v>
      </c>
      <c r="K857" s="198">
        <v>349</v>
      </c>
      <c r="L857" s="9">
        <v>73</v>
      </c>
      <c r="M857" s="10">
        <v>1975</v>
      </c>
      <c r="N857" s="9" t="s">
        <v>16</v>
      </c>
      <c r="O857" s="10">
        <v>2006</v>
      </c>
    </row>
    <row r="858" spans="3:15" s="9" customFormat="1" ht="12.75">
      <c r="C858" s="13">
        <v>4852423</v>
      </c>
      <c r="E858" s="11">
        <v>4863154</v>
      </c>
      <c r="F858" s="12">
        <f>E858-C858</f>
        <v>10731</v>
      </c>
      <c r="K858" s="9">
        <v>349</v>
      </c>
      <c r="L858" s="9">
        <v>74</v>
      </c>
      <c r="M858" s="10">
        <v>1975</v>
      </c>
      <c r="N858" s="9" t="s">
        <v>16</v>
      </c>
      <c r="O858" s="10">
        <v>2008</v>
      </c>
    </row>
    <row r="859" spans="3:15" s="9" customFormat="1" ht="12.75">
      <c r="C859" s="13">
        <v>4852424</v>
      </c>
      <c r="E859" s="11">
        <v>4863155</v>
      </c>
      <c r="F859" s="12">
        <f>E859-C859</f>
        <v>10731</v>
      </c>
      <c r="K859" s="9">
        <v>349</v>
      </c>
      <c r="L859" s="9">
        <v>75</v>
      </c>
      <c r="M859" s="10">
        <v>1975</v>
      </c>
      <c r="N859" s="9" t="s">
        <v>16</v>
      </c>
      <c r="O859" s="10">
        <v>2008</v>
      </c>
    </row>
    <row r="860" spans="3:15" s="9" customFormat="1" ht="12.75">
      <c r="C860" s="13">
        <v>4852425</v>
      </c>
      <c r="E860" s="11">
        <v>4863156</v>
      </c>
      <c r="F860" s="12">
        <f>E860-C860</f>
        <v>10731</v>
      </c>
      <c r="K860" s="9">
        <f>425-76</f>
        <v>349</v>
      </c>
      <c r="L860" s="9">
        <v>76</v>
      </c>
      <c r="M860" s="10">
        <v>1975</v>
      </c>
      <c r="N860" s="9" t="s">
        <v>16</v>
      </c>
      <c r="O860" s="10">
        <v>2006</v>
      </c>
    </row>
    <row r="861" spans="3:15" s="9" customFormat="1" ht="12.75">
      <c r="C861" s="9">
        <v>4852428</v>
      </c>
      <c r="E861" s="11">
        <v>4863159</v>
      </c>
      <c r="F861" s="12">
        <f>E861-C861</f>
        <v>10731</v>
      </c>
      <c r="K861" s="9">
        <v>349</v>
      </c>
      <c r="L861" s="9">
        <v>79</v>
      </c>
      <c r="M861" s="10">
        <v>1975</v>
      </c>
      <c r="N861" s="9" t="s">
        <v>16</v>
      </c>
      <c r="O861" s="10">
        <v>2006</v>
      </c>
    </row>
    <row r="862" spans="3:15" s="9" customFormat="1" ht="12.75">
      <c r="C862" s="9">
        <v>4852430</v>
      </c>
      <c r="E862" s="11">
        <v>4863161</v>
      </c>
      <c r="F862" s="12">
        <f>E862-C862</f>
        <v>10731</v>
      </c>
      <c r="K862" s="9">
        <f>430-81</f>
        <v>349</v>
      </c>
      <c r="L862" s="9">
        <v>81</v>
      </c>
      <c r="M862" s="10">
        <v>1975</v>
      </c>
      <c r="N862" s="9" t="s">
        <v>16</v>
      </c>
      <c r="O862" s="10">
        <v>2008</v>
      </c>
    </row>
    <row r="863" spans="3:15" s="9" customFormat="1" ht="12.75">
      <c r="C863" s="9">
        <v>4852432</v>
      </c>
      <c r="E863" s="11">
        <v>4863163</v>
      </c>
      <c r="F863" s="12">
        <v>10731</v>
      </c>
      <c r="K863" s="9">
        <v>349</v>
      </c>
      <c r="L863" s="9">
        <v>83</v>
      </c>
      <c r="M863" s="10">
        <v>1975</v>
      </c>
      <c r="N863" s="9" t="s">
        <v>16</v>
      </c>
      <c r="O863" s="10">
        <v>2007</v>
      </c>
    </row>
    <row r="864" spans="3:15" s="9" customFormat="1" ht="12.75">
      <c r="C864" s="9">
        <v>4852433</v>
      </c>
      <c r="E864" s="11">
        <v>4863164</v>
      </c>
      <c r="F864" s="12">
        <f aca="true" t="shared" si="26" ref="F864:F869">E864-C864</f>
        <v>10731</v>
      </c>
      <c r="K864" s="9">
        <v>349</v>
      </c>
      <c r="L864" s="9">
        <v>84</v>
      </c>
      <c r="M864" s="10">
        <v>1975</v>
      </c>
      <c r="N864" s="9" t="s">
        <v>16</v>
      </c>
      <c r="O864" s="10">
        <v>2007</v>
      </c>
    </row>
    <row r="865" spans="3:15" s="9" customFormat="1" ht="12.75">
      <c r="C865" s="9">
        <v>4852437</v>
      </c>
      <c r="E865" s="11">
        <v>4863168</v>
      </c>
      <c r="F865" s="12">
        <f t="shared" si="26"/>
        <v>10731</v>
      </c>
      <c r="K865" s="9">
        <v>349</v>
      </c>
      <c r="L865" s="9">
        <v>88</v>
      </c>
      <c r="M865" s="10">
        <v>1975</v>
      </c>
      <c r="N865" s="9" t="s">
        <v>16</v>
      </c>
      <c r="O865" s="10">
        <v>2006</v>
      </c>
    </row>
    <row r="866" spans="3:15" s="9" customFormat="1" ht="12.75">
      <c r="C866" s="9">
        <v>4852438</v>
      </c>
      <c r="E866" s="11">
        <v>4863169</v>
      </c>
      <c r="F866" s="12">
        <f t="shared" si="26"/>
        <v>10731</v>
      </c>
      <c r="K866" s="9">
        <v>349</v>
      </c>
      <c r="L866" s="9">
        <v>89</v>
      </c>
      <c r="M866" s="10">
        <v>1975</v>
      </c>
      <c r="N866" s="9" t="s">
        <v>16</v>
      </c>
      <c r="O866" s="10">
        <v>2009</v>
      </c>
    </row>
    <row r="867" spans="3:15" s="9" customFormat="1" ht="12.75">
      <c r="C867" s="10">
        <v>4852440</v>
      </c>
      <c r="E867" s="11">
        <v>4863171</v>
      </c>
      <c r="F867" s="12">
        <f t="shared" si="26"/>
        <v>10731</v>
      </c>
      <c r="K867" s="198">
        <v>349</v>
      </c>
      <c r="L867" s="9">
        <v>91</v>
      </c>
      <c r="M867" s="10">
        <v>1975</v>
      </c>
      <c r="N867" s="9" t="s">
        <v>16</v>
      </c>
      <c r="O867" s="10">
        <v>2007</v>
      </c>
    </row>
    <row r="868" spans="3:15" s="9" customFormat="1" ht="12.75">
      <c r="C868" s="9">
        <v>4852441</v>
      </c>
      <c r="E868" s="11">
        <v>4863172</v>
      </c>
      <c r="F868" s="12">
        <f t="shared" si="26"/>
        <v>10731</v>
      </c>
      <c r="K868" s="9">
        <v>349</v>
      </c>
      <c r="L868" s="9">
        <v>92</v>
      </c>
      <c r="M868" s="10">
        <v>1975</v>
      </c>
      <c r="N868" s="9" t="s">
        <v>16</v>
      </c>
      <c r="O868" s="10">
        <v>2007</v>
      </c>
    </row>
    <row r="869" spans="3:15" s="9" customFormat="1" ht="12.75">
      <c r="C869" s="198">
        <v>4852443</v>
      </c>
      <c r="E869" s="11">
        <v>4863174</v>
      </c>
      <c r="F869" s="12">
        <f t="shared" si="26"/>
        <v>10731</v>
      </c>
      <c r="L869" s="198">
        <v>94</v>
      </c>
      <c r="M869" s="10">
        <v>1975</v>
      </c>
      <c r="N869" s="198" t="s">
        <v>16</v>
      </c>
      <c r="O869" s="10">
        <v>2020</v>
      </c>
    </row>
    <row r="870" spans="5:15" s="9" customFormat="1" ht="12.75">
      <c r="E870" s="11">
        <v>4863175</v>
      </c>
      <c r="F870" s="12"/>
      <c r="L870" s="198">
        <v>95</v>
      </c>
      <c r="M870" s="10">
        <v>1975</v>
      </c>
      <c r="N870" s="198" t="s">
        <v>16</v>
      </c>
      <c r="O870" s="10">
        <v>2009</v>
      </c>
    </row>
    <row r="871" spans="3:15" s="9" customFormat="1" ht="12.75">
      <c r="C871" s="9">
        <v>4852446</v>
      </c>
      <c r="E871" s="9">
        <v>4863177</v>
      </c>
      <c r="F871" s="12">
        <v>10731</v>
      </c>
      <c r="K871" s="9">
        <v>349</v>
      </c>
      <c r="L871" s="9">
        <v>97</v>
      </c>
      <c r="M871" s="10">
        <v>1975</v>
      </c>
      <c r="N871" s="9" t="s">
        <v>16</v>
      </c>
      <c r="O871" s="10"/>
    </row>
    <row r="872" spans="3:15" s="9" customFormat="1" ht="12.75">
      <c r="C872" s="9">
        <v>4852448</v>
      </c>
      <c r="E872" s="11">
        <v>4863179</v>
      </c>
      <c r="F872" s="12">
        <f aca="true" t="shared" si="27" ref="F872:F878">E872-C872</f>
        <v>10731</v>
      </c>
      <c r="K872" s="9">
        <v>349</v>
      </c>
      <c r="L872" s="9">
        <v>99</v>
      </c>
      <c r="M872" s="10">
        <v>1975</v>
      </c>
      <c r="N872" s="9" t="s">
        <v>16</v>
      </c>
      <c r="O872" s="10">
        <v>2008</v>
      </c>
    </row>
    <row r="873" spans="3:15" s="9" customFormat="1" ht="12.75">
      <c r="C873" s="9">
        <v>4852450</v>
      </c>
      <c r="E873" s="11">
        <v>4863181</v>
      </c>
      <c r="F873" s="12">
        <f t="shared" si="27"/>
        <v>10731</v>
      </c>
      <c r="K873" s="9">
        <v>349</v>
      </c>
      <c r="L873" s="9">
        <v>101</v>
      </c>
      <c r="M873" s="10">
        <v>1975</v>
      </c>
      <c r="N873" s="9" t="s">
        <v>16</v>
      </c>
      <c r="O873" s="10">
        <v>2006</v>
      </c>
    </row>
    <row r="874" spans="3:15" s="9" customFormat="1" ht="12.75">
      <c r="C874" s="9">
        <v>4852453</v>
      </c>
      <c r="E874" s="11">
        <v>4863184</v>
      </c>
      <c r="F874" s="12">
        <f t="shared" si="27"/>
        <v>10731</v>
      </c>
      <c r="K874" s="9">
        <f>453-104</f>
        <v>349</v>
      </c>
      <c r="L874" s="9">
        <v>104</v>
      </c>
      <c r="M874" s="10">
        <v>1975</v>
      </c>
      <c r="N874" s="9" t="s">
        <v>16</v>
      </c>
      <c r="O874" s="10">
        <v>2006</v>
      </c>
    </row>
    <row r="875" spans="3:15" s="9" customFormat="1" ht="12.75">
      <c r="C875" s="9">
        <v>4852454</v>
      </c>
      <c r="E875" s="11">
        <v>4863185</v>
      </c>
      <c r="F875" s="12">
        <f t="shared" si="27"/>
        <v>10731</v>
      </c>
      <c r="K875" s="9">
        <v>349</v>
      </c>
      <c r="L875" s="9">
        <v>105</v>
      </c>
      <c r="M875" s="10">
        <v>1975</v>
      </c>
      <c r="N875" s="9" t="s">
        <v>16</v>
      </c>
      <c r="O875" s="10">
        <v>2006</v>
      </c>
    </row>
    <row r="876" spans="3:15" s="9" customFormat="1" ht="12.75">
      <c r="C876" s="9">
        <v>4852456</v>
      </c>
      <c r="E876" s="11">
        <v>4863187</v>
      </c>
      <c r="F876" s="12">
        <f t="shared" si="27"/>
        <v>10731</v>
      </c>
      <c r="K876" s="9">
        <v>349</v>
      </c>
      <c r="L876" s="9">
        <v>107</v>
      </c>
      <c r="M876" s="10">
        <v>1975</v>
      </c>
      <c r="N876" s="9" t="s">
        <v>16</v>
      </c>
      <c r="O876" s="10" t="s">
        <v>225</v>
      </c>
    </row>
    <row r="877" spans="3:15" s="9" customFormat="1" ht="12.75">
      <c r="C877" s="9">
        <v>4852458</v>
      </c>
      <c r="E877" s="11">
        <v>4863189</v>
      </c>
      <c r="F877" s="12">
        <f t="shared" si="27"/>
        <v>10731</v>
      </c>
      <c r="K877" s="198">
        <v>349</v>
      </c>
      <c r="M877" s="10"/>
      <c r="O877" s="13">
        <v>1991</v>
      </c>
    </row>
    <row r="878" spans="3:15" s="9" customFormat="1" ht="12.75">
      <c r="C878" s="9">
        <v>4852469</v>
      </c>
      <c r="E878" s="11">
        <v>4863200</v>
      </c>
      <c r="F878" s="12">
        <f t="shared" si="27"/>
        <v>10731</v>
      </c>
      <c r="K878" s="9">
        <v>349</v>
      </c>
      <c r="L878" s="9">
        <v>120</v>
      </c>
      <c r="M878" s="10">
        <v>1975</v>
      </c>
      <c r="N878" s="9" t="s">
        <v>16</v>
      </c>
      <c r="O878" s="10">
        <v>2008</v>
      </c>
    </row>
    <row r="879" spans="3:15" s="9" customFormat="1" ht="12.75">
      <c r="C879" s="9">
        <v>4852471</v>
      </c>
      <c r="E879" s="11">
        <v>4863202</v>
      </c>
      <c r="F879" s="12">
        <v>10731</v>
      </c>
      <c r="K879" s="9">
        <v>349</v>
      </c>
      <c r="L879" s="9">
        <v>122</v>
      </c>
      <c r="M879" s="10">
        <v>1975</v>
      </c>
      <c r="N879" s="9" t="s">
        <v>16</v>
      </c>
      <c r="O879" s="10">
        <v>2007</v>
      </c>
    </row>
    <row r="880" spans="3:15" s="9" customFormat="1" ht="12.75">
      <c r="C880" s="9">
        <v>4852473</v>
      </c>
      <c r="E880" s="11">
        <v>4863204</v>
      </c>
      <c r="F880" s="12">
        <f aca="true" t="shared" si="28" ref="F880:F909">E880-C880</f>
        <v>10731</v>
      </c>
      <c r="K880" s="9">
        <v>349</v>
      </c>
      <c r="L880" s="9">
        <v>124</v>
      </c>
      <c r="M880" s="10">
        <v>1975</v>
      </c>
      <c r="N880" s="9" t="s">
        <v>16</v>
      </c>
      <c r="O880" s="13" t="s">
        <v>226</v>
      </c>
    </row>
    <row r="881" spans="3:15" s="9" customFormat="1" ht="12.75">
      <c r="C881" s="9">
        <v>4852474</v>
      </c>
      <c r="E881" s="11">
        <v>4863205</v>
      </c>
      <c r="F881" s="12">
        <f t="shared" si="28"/>
        <v>10731</v>
      </c>
      <c r="K881" s="9">
        <v>349</v>
      </c>
      <c r="L881" s="9">
        <v>125</v>
      </c>
      <c r="M881" s="10">
        <v>1975</v>
      </c>
      <c r="N881" s="9" t="s">
        <v>16</v>
      </c>
      <c r="O881" s="10">
        <v>2007</v>
      </c>
    </row>
    <row r="882" spans="3:15" s="9" customFormat="1" ht="12.75">
      <c r="C882" s="9">
        <v>4852476</v>
      </c>
      <c r="E882" s="11">
        <v>4863207</v>
      </c>
      <c r="F882" s="12">
        <f t="shared" si="28"/>
        <v>10731</v>
      </c>
      <c r="K882" s="9">
        <v>349</v>
      </c>
      <c r="L882" s="9">
        <v>127</v>
      </c>
      <c r="M882" s="10">
        <v>1975</v>
      </c>
      <c r="N882" s="9" t="s">
        <v>16</v>
      </c>
      <c r="O882" s="10">
        <v>2008</v>
      </c>
    </row>
    <row r="883" spans="3:15" s="9" customFormat="1" ht="12.75">
      <c r="C883" s="9">
        <v>4852478</v>
      </c>
      <c r="E883" s="11">
        <v>4863209</v>
      </c>
      <c r="F883" s="12">
        <f t="shared" si="28"/>
        <v>10731</v>
      </c>
      <c r="K883" s="9">
        <v>349</v>
      </c>
      <c r="L883" s="9">
        <v>129</v>
      </c>
      <c r="M883" s="10">
        <v>1975</v>
      </c>
      <c r="N883" s="9" t="s">
        <v>16</v>
      </c>
      <c r="O883" s="10">
        <v>2008</v>
      </c>
    </row>
    <row r="884" spans="3:15" s="9" customFormat="1" ht="12.75">
      <c r="C884" s="198">
        <v>4852479</v>
      </c>
      <c r="E884" s="11">
        <v>4863210</v>
      </c>
      <c r="F884" s="200">
        <f t="shared" si="28"/>
        <v>10731</v>
      </c>
      <c r="K884" s="198">
        <v>349</v>
      </c>
      <c r="L884" s="198">
        <v>130</v>
      </c>
      <c r="M884" s="10">
        <v>1975</v>
      </c>
      <c r="N884" s="198" t="s">
        <v>16</v>
      </c>
      <c r="O884" s="10" t="s">
        <v>22</v>
      </c>
    </row>
    <row r="885" spans="3:15" s="9" customFormat="1" ht="12.75">
      <c r="C885" s="9">
        <v>4852481</v>
      </c>
      <c r="E885" s="11">
        <v>4863212</v>
      </c>
      <c r="F885" s="12">
        <f t="shared" si="28"/>
        <v>10731</v>
      </c>
      <c r="K885" s="9">
        <v>349</v>
      </c>
      <c r="L885" s="9">
        <v>132</v>
      </c>
      <c r="M885" s="10">
        <v>1975</v>
      </c>
      <c r="N885" s="9" t="s">
        <v>16</v>
      </c>
      <c r="O885" s="10">
        <v>2003</v>
      </c>
    </row>
    <row r="886" spans="3:15" s="9" customFormat="1" ht="12.75">
      <c r="C886" s="9">
        <v>4852483</v>
      </c>
      <c r="E886" s="11">
        <v>4863214</v>
      </c>
      <c r="F886" s="12">
        <f t="shared" si="28"/>
        <v>10731</v>
      </c>
      <c r="K886" s="9">
        <f>483-134</f>
        <v>349</v>
      </c>
      <c r="L886" s="9">
        <v>134</v>
      </c>
      <c r="M886" s="10">
        <v>1975</v>
      </c>
      <c r="N886" s="9" t="s">
        <v>227</v>
      </c>
      <c r="O886" s="10">
        <v>2008</v>
      </c>
    </row>
    <row r="887" spans="3:15" s="9" customFormat="1" ht="12.75">
      <c r="C887" s="9">
        <v>4852487</v>
      </c>
      <c r="E887" s="11">
        <v>4863218</v>
      </c>
      <c r="F887" s="12">
        <f t="shared" si="28"/>
        <v>10731</v>
      </c>
      <c r="K887" s="9">
        <v>349</v>
      </c>
      <c r="L887" s="9">
        <v>138</v>
      </c>
      <c r="M887" s="10">
        <v>1976</v>
      </c>
      <c r="N887" s="9" t="s">
        <v>16</v>
      </c>
      <c r="O887" s="10">
        <v>2007</v>
      </c>
    </row>
    <row r="888" spans="3:15" s="9" customFormat="1" ht="12.75">
      <c r="C888" s="9">
        <v>4852489</v>
      </c>
      <c r="E888" s="11">
        <v>4863220</v>
      </c>
      <c r="F888" s="12">
        <f t="shared" si="28"/>
        <v>10731</v>
      </c>
      <c r="K888" s="9">
        <v>349</v>
      </c>
      <c r="L888" s="9">
        <v>140</v>
      </c>
      <c r="M888" s="10">
        <v>1975</v>
      </c>
      <c r="N888" s="9" t="s">
        <v>16</v>
      </c>
      <c r="O888" s="10">
        <v>2008</v>
      </c>
    </row>
    <row r="889" spans="3:15" s="9" customFormat="1" ht="12.75">
      <c r="C889" s="9">
        <v>4852491</v>
      </c>
      <c r="E889" s="11">
        <v>4863222</v>
      </c>
      <c r="F889" s="12">
        <f t="shared" si="28"/>
        <v>10731</v>
      </c>
      <c r="K889" s="9">
        <v>349</v>
      </c>
      <c r="L889" s="9">
        <v>142</v>
      </c>
      <c r="M889" s="10">
        <v>1975</v>
      </c>
      <c r="N889" s="9" t="s">
        <v>16</v>
      </c>
      <c r="O889" s="10">
        <v>2008</v>
      </c>
    </row>
    <row r="890" spans="3:15" s="9" customFormat="1" ht="12.75">
      <c r="C890" s="9">
        <v>4852493</v>
      </c>
      <c r="E890" s="11">
        <v>4863224</v>
      </c>
      <c r="F890" s="12">
        <f t="shared" si="28"/>
        <v>10731</v>
      </c>
      <c r="K890" s="9">
        <v>349</v>
      </c>
      <c r="L890" s="9">
        <v>144</v>
      </c>
      <c r="M890" s="10">
        <v>1975</v>
      </c>
      <c r="N890" s="9" t="s">
        <v>16</v>
      </c>
      <c r="O890" s="10">
        <v>2008</v>
      </c>
    </row>
    <row r="891" spans="3:15" s="9" customFormat="1" ht="12.75">
      <c r="C891" s="9">
        <v>4852499</v>
      </c>
      <c r="E891" s="11">
        <v>4863230</v>
      </c>
      <c r="F891" s="12">
        <f t="shared" si="28"/>
        <v>10731</v>
      </c>
      <c r="K891" s="9">
        <v>349</v>
      </c>
      <c r="L891" s="9">
        <v>150</v>
      </c>
      <c r="M891" s="10">
        <v>1975</v>
      </c>
      <c r="N891" s="9" t="s">
        <v>16</v>
      </c>
      <c r="O891" s="10">
        <v>2002</v>
      </c>
    </row>
    <row r="892" spans="3:15" s="9" customFormat="1" ht="12.75">
      <c r="C892" s="9">
        <v>4852500</v>
      </c>
      <c r="E892" s="11">
        <v>4863231</v>
      </c>
      <c r="F892" s="12">
        <f t="shared" si="28"/>
        <v>10731</v>
      </c>
      <c r="K892" s="9">
        <v>349</v>
      </c>
      <c r="L892" s="9">
        <v>151</v>
      </c>
      <c r="M892" s="10">
        <v>1975</v>
      </c>
      <c r="N892" s="9" t="s">
        <v>16</v>
      </c>
      <c r="O892" s="10">
        <v>2008</v>
      </c>
    </row>
    <row r="893" spans="3:15" s="9" customFormat="1" ht="12.75">
      <c r="C893" s="9">
        <v>4852501</v>
      </c>
      <c r="E893" s="11">
        <v>4863232</v>
      </c>
      <c r="F893" s="12">
        <f t="shared" si="28"/>
        <v>10731</v>
      </c>
      <c r="K893" s="9">
        <f>501-152</f>
        <v>349</v>
      </c>
      <c r="L893" s="9">
        <v>152</v>
      </c>
      <c r="M893" s="10">
        <v>1975</v>
      </c>
      <c r="N893" s="9" t="s">
        <v>16</v>
      </c>
      <c r="O893" s="10">
        <v>2002</v>
      </c>
    </row>
    <row r="894" spans="3:15" s="9" customFormat="1" ht="12.75">
      <c r="C894" s="9">
        <v>4852502</v>
      </c>
      <c r="E894" s="11">
        <v>4863233</v>
      </c>
      <c r="F894" s="12">
        <f t="shared" si="28"/>
        <v>10731</v>
      </c>
      <c r="K894" s="9">
        <v>349</v>
      </c>
      <c r="L894" s="9">
        <v>153</v>
      </c>
      <c r="M894" s="10">
        <v>1975</v>
      </c>
      <c r="N894" s="9" t="s">
        <v>16</v>
      </c>
      <c r="O894" s="10">
        <v>2008</v>
      </c>
    </row>
    <row r="895" spans="3:15" s="9" customFormat="1" ht="12.75">
      <c r="C895" s="9">
        <v>4852503</v>
      </c>
      <c r="E895" s="11">
        <v>4863234</v>
      </c>
      <c r="F895" s="12">
        <f t="shared" si="28"/>
        <v>10731</v>
      </c>
      <c r="M895" s="10"/>
      <c r="O895" s="10" t="s">
        <v>164</v>
      </c>
    </row>
    <row r="896" spans="3:15" s="9" customFormat="1" ht="12.75">
      <c r="C896" s="10">
        <v>4852504</v>
      </c>
      <c r="E896" s="11">
        <v>4863235</v>
      </c>
      <c r="F896" s="12">
        <f t="shared" si="28"/>
        <v>10731</v>
      </c>
      <c r="K896" s="9">
        <v>349</v>
      </c>
      <c r="L896" s="9">
        <v>155</v>
      </c>
      <c r="M896" s="10">
        <v>1975</v>
      </c>
      <c r="N896" s="9" t="s">
        <v>16</v>
      </c>
      <c r="O896" s="10">
        <v>2008</v>
      </c>
    </row>
    <row r="897" spans="3:15" s="9" customFormat="1" ht="12.75">
      <c r="C897" s="10">
        <v>4852507</v>
      </c>
      <c r="E897" s="11">
        <v>4863238</v>
      </c>
      <c r="F897" s="12">
        <f t="shared" si="28"/>
        <v>10731</v>
      </c>
      <c r="K897" s="9">
        <v>349</v>
      </c>
      <c r="L897" s="9">
        <v>158</v>
      </c>
      <c r="M897" s="10">
        <v>1975</v>
      </c>
      <c r="N897" s="9" t="s">
        <v>16</v>
      </c>
      <c r="O897" s="10">
        <v>2008</v>
      </c>
    </row>
    <row r="898" spans="3:15" s="9" customFormat="1" ht="12.75">
      <c r="C898" s="10">
        <v>4852512</v>
      </c>
      <c r="E898" s="11">
        <v>4863243</v>
      </c>
      <c r="F898" s="12">
        <f t="shared" si="28"/>
        <v>10731</v>
      </c>
      <c r="K898" s="9">
        <v>349</v>
      </c>
      <c r="L898" s="9">
        <v>163</v>
      </c>
      <c r="M898" s="10">
        <v>1975</v>
      </c>
      <c r="N898" s="9" t="s">
        <v>16</v>
      </c>
      <c r="O898" s="10" t="s">
        <v>207</v>
      </c>
    </row>
    <row r="899" spans="3:15" s="9" customFormat="1" ht="12.75">
      <c r="C899" s="9">
        <v>4852525</v>
      </c>
      <c r="E899" s="11">
        <v>4863256</v>
      </c>
      <c r="F899" s="12">
        <f t="shared" si="28"/>
        <v>10731</v>
      </c>
      <c r="M899" s="10">
        <v>1975</v>
      </c>
      <c r="N899" s="9" t="s">
        <v>16</v>
      </c>
      <c r="O899" s="10">
        <v>2007</v>
      </c>
    </row>
    <row r="900" spans="3:15" s="9" customFormat="1" ht="12.75">
      <c r="C900" s="9">
        <v>4852528</v>
      </c>
      <c r="E900" s="11">
        <v>4863259</v>
      </c>
      <c r="F900" s="12">
        <f t="shared" si="28"/>
        <v>10731</v>
      </c>
      <c r="M900" s="10">
        <v>1975</v>
      </c>
      <c r="O900" s="10">
        <v>1998</v>
      </c>
    </row>
    <row r="901" spans="3:15" s="9" customFormat="1" ht="12.75">
      <c r="C901" s="9">
        <v>4852529</v>
      </c>
      <c r="E901" s="11">
        <v>4863260</v>
      </c>
      <c r="F901" s="12">
        <f t="shared" si="28"/>
        <v>10731</v>
      </c>
      <c r="K901" s="9">
        <v>349</v>
      </c>
      <c r="L901" s="9">
        <v>180</v>
      </c>
      <c r="M901" s="10">
        <v>1975</v>
      </c>
      <c r="N901" s="9" t="s">
        <v>16</v>
      </c>
      <c r="O901" s="10">
        <v>2008</v>
      </c>
    </row>
    <row r="902" spans="3:15" s="9" customFormat="1" ht="12.75">
      <c r="C902" s="9">
        <v>4852532</v>
      </c>
      <c r="E902" s="11">
        <v>4863263</v>
      </c>
      <c r="F902" s="12">
        <f t="shared" si="28"/>
        <v>10731</v>
      </c>
      <c r="K902" s="9">
        <v>349</v>
      </c>
      <c r="L902" s="9">
        <v>183</v>
      </c>
      <c r="M902" s="10">
        <v>1975</v>
      </c>
      <c r="N902" s="9" t="s">
        <v>16</v>
      </c>
      <c r="O902" s="10">
        <v>2008</v>
      </c>
    </row>
    <row r="903" spans="3:15" s="9" customFormat="1" ht="12.75">
      <c r="C903" s="9">
        <v>4852533</v>
      </c>
      <c r="E903" s="239">
        <v>4863264</v>
      </c>
      <c r="F903" s="12">
        <f t="shared" si="28"/>
        <v>10731</v>
      </c>
      <c r="K903" s="9">
        <v>349</v>
      </c>
      <c r="L903" s="9">
        <v>184</v>
      </c>
      <c r="M903" s="10">
        <v>1975</v>
      </c>
      <c r="N903" s="9" t="s">
        <v>16</v>
      </c>
      <c r="O903" s="10" t="s">
        <v>228</v>
      </c>
    </row>
    <row r="904" spans="3:15" s="9" customFormat="1" ht="12.75">
      <c r="C904" s="9">
        <v>4852536</v>
      </c>
      <c r="E904" s="11">
        <v>4863267</v>
      </c>
      <c r="F904" s="12">
        <f t="shared" si="28"/>
        <v>10731</v>
      </c>
      <c r="K904" s="9">
        <f>536-187</f>
        <v>349</v>
      </c>
      <c r="L904" s="9">
        <v>187</v>
      </c>
      <c r="M904" s="10">
        <v>1975</v>
      </c>
      <c r="N904" s="9" t="s">
        <v>16</v>
      </c>
      <c r="O904" s="10">
        <v>2006</v>
      </c>
    </row>
    <row r="905" spans="3:15" s="9" customFormat="1" ht="12.75">
      <c r="C905" s="9">
        <v>4852540</v>
      </c>
      <c r="E905" s="11">
        <v>4863271</v>
      </c>
      <c r="F905" s="12">
        <f t="shared" si="28"/>
        <v>10731</v>
      </c>
      <c r="K905" s="9">
        <v>349</v>
      </c>
      <c r="L905" s="9">
        <v>191</v>
      </c>
      <c r="M905" s="10">
        <v>1975</v>
      </c>
      <c r="N905" s="9" t="s">
        <v>16</v>
      </c>
      <c r="O905" s="10">
        <v>2008</v>
      </c>
    </row>
    <row r="906" spans="3:15" s="9" customFormat="1" ht="12.75">
      <c r="C906" s="9">
        <v>4852545</v>
      </c>
      <c r="E906" s="11">
        <v>4863276</v>
      </c>
      <c r="F906" s="12">
        <f t="shared" si="28"/>
        <v>10731</v>
      </c>
      <c r="K906" s="9">
        <v>349</v>
      </c>
      <c r="L906" s="9">
        <v>196</v>
      </c>
      <c r="M906" s="10">
        <v>1975</v>
      </c>
      <c r="N906" s="9" t="s">
        <v>16</v>
      </c>
      <c r="O906" s="10">
        <v>2003</v>
      </c>
    </row>
    <row r="907" spans="3:15" s="9" customFormat="1" ht="12.75">
      <c r="C907" s="9">
        <v>4852548</v>
      </c>
      <c r="E907" s="11">
        <v>4863279</v>
      </c>
      <c r="F907" s="12">
        <f t="shared" si="28"/>
        <v>10731</v>
      </c>
      <c r="K907" s="9">
        <v>349</v>
      </c>
      <c r="L907" s="9">
        <v>199</v>
      </c>
      <c r="M907" s="10">
        <v>1975</v>
      </c>
      <c r="N907" s="9" t="s">
        <v>16</v>
      </c>
      <c r="O907" s="10">
        <v>2008</v>
      </c>
    </row>
    <row r="908" spans="3:15" s="9" customFormat="1" ht="12.75">
      <c r="C908" s="198">
        <v>4852552</v>
      </c>
      <c r="E908" s="11">
        <v>4863283</v>
      </c>
      <c r="F908" s="200">
        <f t="shared" si="28"/>
        <v>10731</v>
      </c>
      <c r="K908" s="198">
        <v>349</v>
      </c>
      <c r="L908" s="198">
        <v>203</v>
      </c>
      <c r="M908" s="10">
        <v>1975</v>
      </c>
      <c r="N908" s="198" t="s">
        <v>16</v>
      </c>
      <c r="O908" s="10" t="s">
        <v>22</v>
      </c>
    </row>
    <row r="909" spans="3:15" s="9" customFormat="1" ht="12.75">
      <c r="C909" s="9">
        <v>4852553</v>
      </c>
      <c r="E909" s="11">
        <v>4863284</v>
      </c>
      <c r="F909" s="12">
        <f t="shared" si="28"/>
        <v>10731</v>
      </c>
      <c r="K909" s="9">
        <v>349</v>
      </c>
      <c r="L909" s="9">
        <v>204</v>
      </c>
      <c r="M909" s="10">
        <v>1976</v>
      </c>
      <c r="N909" s="9" t="s">
        <v>16</v>
      </c>
      <c r="O909" s="10">
        <v>2008</v>
      </c>
    </row>
    <row r="910" spans="1:15" s="9" customFormat="1" ht="12.75">
      <c r="A910" s="9">
        <v>2558</v>
      </c>
      <c r="C910" s="9">
        <v>4852558</v>
      </c>
      <c r="E910" s="53">
        <v>4863289</v>
      </c>
      <c r="F910" s="12">
        <v>10731</v>
      </c>
      <c r="K910" s="9">
        <v>349</v>
      </c>
      <c r="L910" s="9">
        <v>209</v>
      </c>
      <c r="M910" s="10">
        <v>1976</v>
      </c>
      <c r="N910" s="9" t="s">
        <v>16</v>
      </c>
      <c r="O910" s="13">
        <v>1986</v>
      </c>
    </row>
    <row r="911" spans="3:15" s="9" customFormat="1" ht="12.75">
      <c r="C911" s="9">
        <v>4852570</v>
      </c>
      <c r="E911" s="11">
        <v>4863301</v>
      </c>
      <c r="F911" s="12">
        <f aca="true" t="shared" si="29" ref="F911:F918">E911-C911</f>
        <v>10731</v>
      </c>
      <c r="K911" s="9">
        <v>349</v>
      </c>
      <c r="L911" s="9">
        <v>221</v>
      </c>
      <c r="M911" s="10">
        <v>1976</v>
      </c>
      <c r="N911" s="9" t="s">
        <v>16</v>
      </c>
      <c r="O911" s="10">
        <v>2008</v>
      </c>
    </row>
    <row r="912" spans="3:15" s="9" customFormat="1" ht="12.75">
      <c r="C912" s="9">
        <v>4852571</v>
      </c>
      <c r="E912" s="11">
        <v>4863302</v>
      </c>
      <c r="F912" s="12">
        <f t="shared" si="29"/>
        <v>10731</v>
      </c>
      <c r="K912" s="9">
        <v>349</v>
      </c>
      <c r="L912" s="9">
        <v>222</v>
      </c>
      <c r="M912" s="10">
        <v>1976</v>
      </c>
      <c r="N912" s="9" t="s">
        <v>16</v>
      </c>
      <c r="O912" s="10">
        <v>2006</v>
      </c>
    </row>
    <row r="913" spans="3:15" s="9" customFormat="1" ht="12.75">
      <c r="C913" s="9">
        <v>4852573</v>
      </c>
      <c r="E913" s="11">
        <v>4863304</v>
      </c>
      <c r="F913" s="12">
        <f t="shared" si="29"/>
        <v>10731</v>
      </c>
      <c r="M913" s="10"/>
      <c r="O913" s="10" t="s">
        <v>164</v>
      </c>
    </row>
    <row r="914" spans="3:15" s="9" customFormat="1" ht="12.75">
      <c r="C914" s="9">
        <v>4852583</v>
      </c>
      <c r="E914" s="11">
        <v>4863314</v>
      </c>
      <c r="F914" s="12">
        <f t="shared" si="29"/>
        <v>10731</v>
      </c>
      <c r="K914" s="9">
        <f>583-234</f>
        <v>349</v>
      </c>
      <c r="L914" s="9">
        <v>234</v>
      </c>
      <c r="M914" s="10">
        <v>1976</v>
      </c>
      <c r="N914" s="9" t="s">
        <v>16</v>
      </c>
      <c r="O914" s="10">
        <v>2006</v>
      </c>
    </row>
    <row r="915" spans="1:15" s="9" customFormat="1" ht="12.75">
      <c r="A915" s="9">
        <v>2588</v>
      </c>
      <c r="C915" s="9">
        <v>4852588</v>
      </c>
      <c r="E915" s="11">
        <v>4863319</v>
      </c>
      <c r="F915" s="12">
        <f t="shared" si="29"/>
        <v>10731</v>
      </c>
      <c r="K915" s="9">
        <f>588-239</f>
        <v>349</v>
      </c>
      <c r="L915" s="9">
        <v>239</v>
      </c>
      <c r="M915" s="10">
        <v>1976</v>
      </c>
      <c r="N915" s="9" t="s">
        <v>16</v>
      </c>
      <c r="O915" s="10">
        <v>2006</v>
      </c>
    </row>
    <row r="916" spans="3:15" s="9" customFormat="1" ht="12.75">
      <c r="C916" s="9">
        <v>4852589</v>
      </c>
      <c r="E916" s="11">
        <v>4863320</v>
      </c>
      <c r="F916" s="12">
        <f t="shared" si="29"/>
        <v>10731</v>
      </c>
      <c r="M916" s="10"/>
      <c r="O916" s="10" t="s">
        <v>164</v>
      </c>
    </row>
    <row r="917" spans="3:15" s="9" customFormat="1" ht="12.75">
      <c r="C917" s="9">
        <v>4852596</v>
      </c>
      <c r="E917" s="11">
        <v>4863327</v>
      </c>
      <c r="F917" s="12">
        <f t="shared" si="29"/>
        <v>10731</v>
      </c>
      <c r="K917" s="9">
        <v>349</v>
      </c>
      <c r="L917" s="9">
        <v>247</v>
      </c>
      <c r="M917" s="10">
        <v>1975</v>
      </c>
      <c r="N917" s="9" t="s">
        <v>16</v>
      </c>
      <c r="O917" s="10">
        <v>2009</v>
      </c>
    </row>
    <row r="918" spans="3:15" s="9" customFormat="1" ht="12.75">
      <c r="C918" s="10">
        <v>4852598</v>
      </c>
      <c r="E918" s="11">
        <v>4863329</v>
      </c>
      <c r="F918" s="12">
        <f t="shared" si="29"/>
        <v>10731</v>
      </c>
      <c r="H918" s="11"/>
      <c r="I918" s="11"/>
      <c r="J918" s="11"/>
      <c r="K918" s="9">
        <v>349</v>
      </c>
      <c r="L918" s="9">
        <v>249</v>
      </c>
      <c r="M918" s="10">
        <v>1976</v>
      </c>
      <c r="N918" s="9" t="s">
        <v>16</v>
      </c>
      <c r="O918" s="10">
        <v>2008</v>
      </c>
    </row>
    <row r="919" spans="3:15" s="2" customFormat="1" ht="13.5" thickBot="1">
      <c r="C919" s="188">
        <v>4852599</v>
      </c>
      <c r="D919" s="150"/>
      <c r="E919" s="152"/>
      <c r="F919" s="150"/>
      <c r="G919" s="150"/>
      <c r="H919" s="152"/>
      <c r="I919" s="152"/>
      <c r="J919" s="152"/>
      <c r="K919" s="150"/>
      <c r="L919" s="187" t="s">
        <v>229</v>
      </c>
      <c r="M919" s="153"/>
      <c r="N919" s="2" t="s">
        <v>16</v>
      </c>
      <c r="O919" s="6"/>
    </row>
    <row r="920" spans="1:15" s="47" customFormat="1" ht="13.5">
      <c r="A920" s="47" t="s">
        <v>230</v>
      </c>
      <c r="C920" s="49"/>
      <c r="D920" s="142">
        <v>4870850</v>
      </c>
      <c r="E920" s="158"/>
      <c r="F920" s="142"/>
      <c r="G920" s="142"/>
      <c r="H920" s="159"/>
      <c r="I920" s="159"/>
      <c r="J920" s="159"/>
      <c r="K920" s="142">
        <v>106</v>
      </c>
      <c r="L920" s="142">
        <v>34744</v>
      </c>
      <c r="M920" s="49"/>
      <c r="O920" s="49" t="s">
        <v>20</v>
      </c>
    </row>
    <row r="921" spans="3:15" s="9" customFormat="1" ht="12.75">
      <c r="C921" s="10"/>
      <c r="D921" s="9">
        <v>4870851</v>
      </c>
      <c r="E921" s="60"/>
      <c r="F921" s="12"/>
      <c r="G921" s="10"/>
      <c r="H921" s="11"/>
      <c r="I921" s="11">
        <v>4868225</v>
      </c>
      <c r="J921" s="11" t="s">
        <v>23</v>
      </c>
      <c r="M921" s="10"/>
      <c r="O921" s="10" t="s">
        <v>116</v>
      </c>
    </row>
    <row r="922" spans="3:15" s="9" customFormat="1" ht="12.75">
      <c r="C922" s="10"/>
      <c r="D922" s="9">
        <v>4870853</v>
      </c>
      <c r="E922" s="60"/>
      <c r="F922" s="12"/>
      <c r="H922" s="11"/>
      <c r="I922" s="11"/>
      <c r="J922" s="11">
        <v>4871241</v>
      </c>
      <c r="K922" s="9">
        <f>853-747</f>
        <v>106</v>
      </c>
      <c r="L922" s="9">
        <v>34747</v>
      </c>
      <c r="M922" s="10">
        <v>1975</v>
      </c>
      <c r="N922" s="9" t="s">
        <v>96</v>
      </c>
      <c r="O922" s="10" t="s">
        <v>30</v>
      </c>
    </row>
    <row r="923" spans="3:15" s="9" customFormat="1" ht="12.75">
      <c r="C923" s="10"/>
      <c r="D923" s="198">
        <v>4870855</v>
      </c>
      <c r="E923" s="60"/>
      <c r="F923" s="12"/>
      <c r="H923" s="11"/>
      <c r="I923" s="11"/>
      <c r="J923" s="11">
        <v>4871627</v>
      </c>
      <c r="K923" s="9">
        <v>106</v>
      </c>
      <c r="L923" s="198">
        <v>34749</v>
      </c>
      <c r="M923" s="10">
        <v>1975</v>
      </c>
      <c r="N923" s="198" t="s">
        <v>96</v>
      </c>
      <c r="O923" s="10">
        <v>2009</v>
      </c>
    </row>
    <row r="924" spans="3:15" s="9" customFormat="1" ht="12.75">
      <c r="C924" s="10"/>
      <c r="D924" s="9">
        <v>4870857</v>
      </c>
      <c r="E924" s="60"/>
      <c r="F924" s="12"/>
      <c r="H924" s="89">
        <v>4863982</v>
      </c>
      <c r="I924" s="11">
        <v>4868709</v>
      </c>
      <c r="J924" s="11"/>
      <c r="K924" s="9">
        <f>857-751</f>
        <v>106</v>
      </c>
      <c r="L924" s="9">
        <v>34751</v>
      </c>
      <c r="M924" s="10">
        <v>1975</v>
      </c>
      <c r="N924" s="9" t="s">
        <v>96</v>
      </c>
      <c r="O924" s="10" t="s">
        <v>20</v>
      </c>
    </row>
    <row r="925" spans="3:15" s="9" customFormat="1" ht="12.75">
      <c r="C925" s="10"/>
      <c r="D925" s="9">
        <v>4870872</v>
      </c>
      <c r="E925" s="60"/>
      <c r="F925" s="12"/>
      <c r="H925" s="89">
        <v>4863946</v>
      </c>
      <c r="I925" s="89">
        <v>4868729</v>
      </c>
      <c r="J925" s="11">
        <v>4871524</v>
      </c>
      <c r="K925" s="9">
        <f>872-766</f>
        <v>106</v>
      </c>
      <c r="L925" s="9">
        <v>34766</v>
      </c>
      <c r="M925" s="10">
        <v>1975</v>
      </c>
      <c r="N925" s="9" t="s">
        <v>96</v>
      </c>
      <c r="O925" s="10">
        <v>2009</v>
      </c>
    </row>
    <row r="926" spans="3:15" s="9" customFormat="1" ht="12.75">
      <c r="C926" s="10"/>
      <c r="D926" s="9">
        <v>4870874</v>
      </c>
      <c r="E926" s="60"/>
      <c r="F926" s="12"/>
      <c r="H926" s="11"/>
      <c r="I926" s="11"/>
      <c r="J926" s="11">
        <v>4871210</v>
      </c>
      <c r="M926" s="10"/>
      <c r="O926" s="10" t="s">
        <v>164</v>
      </c>
    </row>
    <row r="927" spans="3:15" s="9" customFormat="1" ht="12.75">
      <c r="C927" s="10"/>
      <c r="D927" s="9">
        <v>4870877</v>
      </c>
      <c r="E927" s="60"/>
      <c r="F927" s="12"/>
      <c r="H927" s="11"/>
      <c r="I927" s="11"/>
      <c r="J927" s="11">
        <v>4871606</v>
      </c>
      <c r="K927" s="9">
        <v>106</v>
      </c>
      <c r="L927" s="9">
        <v>34771</v>
      </c>
      <c r="M927" s="10">
        <v>1975</v>
      </c>
      <c r="N927" s="9" t="s">
        <v>96</v>
      </c>
      <c r="O927" s="10" t="s">
        <v>48</v>
      </c>
    </row>
    <row r="928" spans="3:15" s="9" customFormat="1" ht="12.75">
      <c r="C928" s="10"/>
      <c r="D928" s="9">
        <v>4870879</v>
      </c>
      <c r="E928" s="60"/>
      <c r="F928" s="12"/>
      <c r="H928" s="89">
        <v>4863918</v>
      </c>
      <c r="I928" s="11">
        <v>4868715</v>
      </c>
      <c r="J928" s="11"/>
      <c r="K928" s="9">
        <v>106</v>
      </c>
      <c r="L928" s="9">
        <v>34773</v>
      </c>
      <c r="M928" s="10">
        <v>1975</v>
      </c>
      <c r="N928" s="9" t="s">
        <v>96</v>
      </c>
      <c r="O928" s="10" t="s">
        <v>20</v>
      </c>
    </row>
    <row r="929" spans="3:15" s="9" customFormat="1" ht="12.75">
      <c r="C929" s="10"/>
      <c r="D929" s="9">
        <v>4870882</v>
      </c>
      <c r="E929" s="60"/>
      <c r="F929" s="12"/>
      <c r="H929" s="11"/>
      <c r="I929" s="11"/>
      <c r="J929" s="11">
        <v>4871011</v>
      </c>
      <c r="M929" s="10">
        <v>1975</v>
      </c>
      <c r="N929" s="9" t="s">
        <v>96</v>
      </c>
      <c r="O929" s="10" t="s">
        <v>48</v>
      </c>
    </row>
    <row r="930" spans="3:15" s="9" customFormat="1" ht="12.75">
      <c r="C930" s="10"/>
      <c r="D930" s="9">
        <v>4870884</v>
      </c>
      <c r="E930" s="60"/>
      <c r="F930" s="12"/>
      <c r="H930" s="11"/>
      <c r="I930" s="11"/>
      <c r="J930" s="11">
        <v>4871176</v>
      </c>
      <c r="M930" s="10">
        <v>1975</v>
      </c>
      <c r="N930" s="9" t="s">
        <v>96</v>
      </c>
      <c r="O930" s="10" t="s">
        <v>30</v>
      </c>
    </row>
    <row r="931" spans="1:15" s="9" customFormat="1" ht="12.75">
      <c r="A931" s="9" t="s">
        <v>230</v>
      </c>
      <c r="C931" s="10"/>
      <c r="D931" s="9">
        <v>4870892</v>
      </c>
      <c r="E931" s="61"/>
      <c r="F931" s="12" t="s">
        <v>4</v>
      </c>
      <c r="G931" s="9">
        <v>4850545</v>
      </c>
      <c r="H931" s="11">
        <v>4863910</v>
      </c>
      <c r="I931" s="11"/>
      <c r="J931" s="11"/>
      <c r="K931" s="9">
        <f>892-786</f>
        <v>106</v>
      </c>
      <c r="L931" s="9">
        <v>34786</v>
      </c>
      <c r="M931" s="10">
        <v>1975</v>
      </c>
      <c r="N931" s="9" t="s">
        <v>215</v>
      </c>
      <c r="O931" s="10">
        <v>2004</v>
      </c>
    </row>
    <row r="932" spans="3:15" s="9" customFormat="1" ht="12.75">
      <c r="C932" s="10"/>
      <c r="D932" s="185">
        <v>4870895</v>
      </c>
      <c r="E932" s="61"/>
      <c r="F932" s="12"/>
      <c r="H932" s="11"/>
      <c r="I932" s="11"/>
      <c r="J932" s="11">
        <v>4871403</v>
      </c>
      <c r="L932" s="9">
        <v>34789</v>
      </c>
      <c r="M932" s="10">
        <v>1975</v>
      </c>
      <c r="N932" s="9" t="s">
        <v>96</v>
      </c>
      <c r="O932" s="10" t="s">
        <v>51</v>
      </c>
    </row>
    <row r="933" spans="3:15" s="9" customFormat="1" ht="12.75">
      <c r="C933" s="10"/>
      <c r="D933" s="9">
        <v>4870897</v>
      </c>
      <c r="E933" s="61"/>
      <c r="F933" s="12"/>
      <c r="H933" s="11"/>
      <c r="I933" s="11"/>
      <c r="J933" s="11">
        <v>4871183</v>
      </c>
      <c r="M933" s="10">
        <v>1975</v>
      </c>
      <c r="N933" s="9" t="s">
        <v>96</v>
      </c>
      <c r="O933" s="10" t="s">
        <v>48</v>
      </c>
    </row>
    <row r="934" spans="3:15" s="9" customFormat="1" ht="12.75">
      <c r="C934" s="10"/>
      <c r="D934" s="9">
        <v>4870900</v>
      </c>
      <c r="E934" s="61"/>
      <c r="F934" s="12"/>
      <c r="H934" s="89">
        <v>4863965</v>
      </c>
      <c r="I934" s="11">
        <v>4868713</v>
      </c>
      <c r="J934" s="11"/>
      <c r="K934" s="9">
        <f>900-794</f>
        <v>106</v>
      </c>
      <c r="L934" s="9">
        <v>34794</v>
      </c>
      <c r="M934" s="10">
        <v>1975</v>
      </c>
      <c r="N934" s="9" t="s">
        <v>96</v>
      </c>
      <c r="O934" s="10" t="s">
        <v>20</v>
      </c>
    </row>
    <row r="935" spans="3:15" s="9" customFormat="1" ht="12.75">
      <c r="C935" s="10"/>
      <c r="D935" s="9">
        <v>4870901</v>
      </c>
      <c r="E935" s="61"/>
      <c r="F935" s="12"/>
      <c r="H935" s="11"/>
      <c r="I935" s="11"/>
      <c r="J935" s="11">
        <v>4871446</v>
      </c>
      <c r="M935" s="10"/>
      <c r="O935" s="10" t="s">
        <v>164</v>
      </c>
    </row>
    <row r="936" spans="3:15" s="9" customFormat="1" ht="12.75">
      <c r="C936" s="10"/>
      <c r="D936" s="9">
        <v>4870905</v>
      </c>
      <c r="E936" s="61"/>
      <c r="F936" s="12"/>
      <c r="H936" s="11"/>
      <c r="I936" s="11"/>
      <c r="J936" s="11">
        <v>4871388</v>
      </c>
      <c r="M936" s="10"/>
      <c r="O936" s="10" t="s">
        <v>164</v>
      </c>
    </row>
    <row r="937" spans="3:15" s="9" customFormat="1" ht="12.75">
      <c r="C937" s="10"/>
      <c r="D937" s="9">
        <v>4870908</v>
      </c>
      <c r="E937" s="61"/>
      <c r="F937" s="12"/>
      <c r="H937" s="100" t="s">
        <v>23</v>
      </c>
      <c r="I937" s="11">
        <v>4868724</v>
      </c>
      <c r="J937" s="11"/>
      <c r="K937" s="9">
        <v>106</v>
      </c>
      <c r="L937" s="9">
        <v>34802</v>
      </c>
      <c r="M937" s="10">
        <v>1975</v>
      </c>
      <c r="N937" s="9" t="s">
        <v>96</v>
      </c>
      <c r="O937" s="10" t="s">
        <v>20</v>
      </c>
    </row>
    <row r="938" spans="3:15" s="9" customFormat="1" ht="12.75">
      <c r="C938" s="10"/>
      <c r="D938" s="198">
        <v>4870912</v>
      </c>
      <c r="E938" s="61"/>
      <c r="F938" s="12"/>
      <c r="H938" s="100"/>
      <c r="I938" s="11"/>
      <c r="J938" s="11">
        <v>4871510</v>
      </c>
      <c r="K938" s="9">
        <v>106</v>
      </c>
      <c r="L938" s="9">
        <v>34806</v>
      </c>
      <c r="M938" s="10">
        <v>1975</v>
      </c>
      <c r="N938" s="198" t="s">
        <v>96</v>
      </c>
      <c r="O938" s="10">
        <v>2009</v>
      </c>
    </row>
    <row r="939" spans="3:15" s="9" customFormat="1" ht="12.75">
      <c r="C939" s="10"/>
      <c r="D939" s="9">
        <v>4870913</v>
      </c>
      <c r="E939" s="61"/>
      <c r="F939" s="12"/>
      <c r="H939" s="11"/>
      <c r="I939" s="11"/>
      <c r="J939" s="11">
        <v>4871146</v>
      </c>
      <c r="M939" s="10">
        <v>1975</v>
      </c>
      <c r="N939" s="9" t="s">
        <v>96</v>
      </c>
      <c r="O939" s="10" t="s">
        <v>48</v>
      </c>
    </row>
    <row r="940" spans="3:15" s="9" customFormat="1" ht="12.75">
      <c r="C940" s="10"/>
      <c r="D940" s="9">
        <v>4870914</v>
      </c>
      <c r="E940" s="61"/>
      <c r="F940" s="12"/>
      <c r="H940" s="89">
        <v>4863930</v>
      </c>
      <c r="I940" s="89">
        <v>4868730</v>
      </c>
      <c r="J940" s="11">
        <v>4871244</v>
      </c>
      <c r="K940" s="9">
        <v>106</v>
      </c>
      <c r="L940" s="9">
        <v>34808</v>
      </c>
      <c r="M940" s="13" t="s">
        <v>231</v>
      </c>
      <c r="N940" s="9" t="s">
        <v>96</v>
      </c>
      <c r="O940" s="10">
        <v>2009</v>
      </c>
    </row>
    <row r="941" spans="3:15" s="9" customFormat="1" ht="12.75">
      <c r="C941" s="10"/>
      <c r="D941" s="9">
        <v>4870915</v>
      </c>
      <c r="E941" s="61"/>
      <c r="F941" s="12"/>
      <c r="H941" s="11"/>
      <c r="I941" s="11"/>
      <c r="J941" s="11">
        <v>4871626</v>
      </c>
      <c r="K941" s="9">
        <v>106</v>
      </c>
      <c r="L941" s="9">
        <v>34809</v>
      </c>
      <c r="M941" s="13">
        <v>1975</v>
      </c>
      <c r="N941" s="9" t="s">
        <v>96</v>
      </c>
      <c r="O941" s="10" t="s">
        <v>51</v>
      </c>
    </row>
    <row r="942" spans="3:15" s="9" customFormat="1" ht="12.75">
      <c r="C942" s="10"/>
      <c r="D942" s="9">
        <v>4870916</v>
      </c>
      <c r="E942" s="61"/>
      <c r="F942" s="12"/>
      <c r="H942" s="11">
        <v>4863917</v>
      </c>
      <c r="I942" s="11"/>
      <c r="J942" s="11"/>
      <c r="K942" s="9">
        <v>106</v>
      </c>
      <c r="L942" s="9">
        <v>34810</v>
      </c>
      <c r="M942" s="13">
        <v>1975</v>
      </c>
      <c r="N942" s="9" t="s">
        <v>96</v>
      </c>
      <c r="O942" s="10" t="s">
        <v>20</v>
      </c>
    </row>
    <row r="943" spans="3:15" s="9" customFormat="1" ht="12.75">
      <c r="C943" s="10"/>
      <c r="D943" s="9">
        <v>4870922</v>
      </c>
      <c r="E943" s="61"/>
      <c r="F943" s="12"/>
      <c r="H943" s="11"/>
      <c r="I943" s="11"/>
      <c r="J943" s="11">
        <v>4871503</v>
      </c>
      <c r="M943" s="13">
        <v>1975</v>
      </c>
      <c r="N943" s="9" t="s">
        <v>96</v>
      </c>
      <c r="O943" s="10" t="s">
        <v>51</v>
      </c>
    </row>
    <row r="944" spans="3:15" s="9" customFormat="1" ht="12.75">
      <c r="C944" s="10"/>
      <c r="D944" s="53">
        <v>4870923</v>
      </c>
      <c r="E944" s="61"/>
      <c r="F944" s="12"/>
      <c r="H944" s="11"/>
      <c r="I944" s="11"/>
      <c r="J944" s="11"/>
      <c r="M944" s="10"/>
      <c r="O944" s="10">
        <v>1993</v>
      </c>
    </row>
    <row r="945" spans="3:15" s="9" customFormat="1" ht="12.75">
      <c r="C945" s="10"/>
      <c r="D945" s="9">
        <v>4870924</v>
      </c>
      <c r="E945" s="61"/>
      <c r="F945" s="12"/>
      <c r="H945" s="11"/>
      <c r="I945" s="11"/>
      <c r="J945" s="11">
        <v>4871165</v>
      </c>
      <c r="M945" s="10"/>
      <c r="O945" s="10" t="s">
        <v>164</v>
      </c>
    </row>
    <row r="946" spans="3:15" s="9" customFormat="1" ht="12.75">
      <c r="C946" s="10"/>
      <c r="D946" s="9">
        <v>4870926</v>
      </c>
      <c r="E946" s="61"/>
      <c r="F946" s="12"/>
      <c r="H946" s="11"/>
      <c r="I946" s="11"/>
      <c r="J946" s="11">
        <v>4871354</v>
      </c>
      <c r="M946" s="10">
        <v>1975</v>
      </c>
      <c r="N946" s="9" t="s">
        <v>96</v>
      </c>
      <c r="O946" s="10" t="s">
        <v>30</v>
      </c>
    </row>
    <row r="947" spans="3:15" s="9" customFormat="1" ht="12.75">
      <c r="C947" s="10"/>
      <c r="D947" s="9">
        <v>4870945</v>
      </c>
      <c r="E947" s="61"/>
      <c r="F947" s="12"/>
      <c r="H947" s="11"/>
      <c r="I947" s="11"/>
      <c r="J947" s="11">
        <v>4871162</v>
      </c>
      <c r="M947" s="13" t="s">
        <v>232</v>
      </c>
      <c r="N947" s="9" t="s">
        <v>96</v>
      </c>
      <c r="O947" s="10" t="s">
        <v>51</v>
      </c>
    </row>
    <row r="948" spans="1:15" s="9" customFormat="1" ht="12.75">
      <c r="A948" s="9" t="s">
        <v>230</v>
      </c>
      <c r="C948" s="10"/>
      <c r="D948" s="9">
        <v>4870949</v>
      </c>
      <c r="E948" s="61"/>
      <c r="F948" s="12"/>
      <c r="H948" s="11"/>
      <c r="I948" s="11"/>
      <c r="J948" s="11">
        <v>4871660</v>
      </c>
      <c r="K948" s="9">
        <f>949-843</f>
        <v>106</v>
      </c>
      <c r="L948" s="112" t="s">
        <v>233</v>
      </c>
      <c r="M948" s="10">
        <v>1976</v>
      </c>
      <c r="N948" s="9" t="s">
        <v>96</v>
      </c>
      <c r="O948" s="10" t="s">
        <v>234</v>
      </c>
    </row>
    <row r="949" spans="3:15" s="9" customFormat="1" ht="12.75">
      <c r="C949" s="9">
        <v>4852600</v>
      </c>
      <c r="E949" s="11">
        <v>4863331</v>
      </c>
      <c r="F949" s="12">
        <f aca="true" t="shared" si="30" ref="F949:F957">E949-C949</f>
        <v>10731</v>
      </c>
      <c r="L949" s="112" t="s">
        <v>235</v>
      </c>
      <c r="M949" s="10">
        <v>1975</v>
      </c>
      <c r="N949" s="9" t="s">
        <v>96</v>
      </c>
      <c r="O949" s="10">
        <v>2007</v>
      </c>
    </row>
    <row r="950" spans="3:15" s="9" customFormat="1" ht="12.75">
      <c r="C950" s="9">
        <v>4852604</v>
      </c>
      <c r="E950" s="11">
        <v>4863335</v>
      </c>
      <c r="F950" s="12">
        <f t="shared" si="30"/>
        <v>10731</v>
      </c>
      <c r="K950" s="9">
        <f>1604-848</f>
        <v>756</v>
      </c>
      <c r="L950" s="9">
        <v>34848</v>
      </c>
      <c r="M950" s="10">
        <v>1975</v>
      </c>
      <c r="N950" s="9" t="s">
        <v>215</v>
      </c>
      <c r="O950" s="10">
        <v>2006</v>
      </c>
    </row>
    <row r="951" spans="3:15" s="9" customFormat="1" ht="12.75">
      <c r="C951" s="9">
        <v>4852605</v>
      </c>
      <c r="E951" s="11">
        <v>4863336</v>
      </c>
      <c r="F951" s="12">
        <f t="shared" si="30"/>
        <v>10731</v>
      </c>
      <c r="K951" s="9">
        <v>756</v>
      </c>
      <c r="L951" s="9">
        <v>34849</v>
      </c>
      <c r="M951" s="13" t="s">
        <v>236</v>
      </c>
      <c r="N951" s="9" t="s">
        <v>96</v>
      </c>
      <c r="O951" s="13" t="s">
        <v>237</v>
      </c>
    </row>
    <row r="952" spans="3:15" s="9" customFormat="1" ht="12.75">
      <c r="C952" s="9">
        <v>4852607</v>
      </c>
      <c r="E952" s="11">
        <v>4863338</v>
      </c>
      <c r="F952" s="12">
        <f t="shared" si="30"/>
        <v>10731</v>
      </c>
      <c r="K952" s="9">
        <f>1607-851</f>
        <v>756</v>
      </c>
      <c r="L952" s="9">
        <v>34851</v>
      </c>
      <c r="M952" s="10">
        <v>1975</v>
      </c>
      <c r="N952" s="9" t="s">
        <v>96</v>
      </c>
      <c r="O952" s="10">
        <v>2006</v>
      </c>
    </row>
    <row r="953" spans="3:15" s="9" customFormat="1" ht="12.75">
      <c r="C953" s="198">
        <v>4852611</v>
      </c>
      <c r="E953" s="11">
        <v>4863342</v>
      </c>
      <c r="F953" s="200">
        <f t="shared" si="30"/>
        <v>10731</v>
      </c>
      <c r="M953" s="13" t="s">
        <v>236</v>
      </c>
      <c r="N953" s="9" t="s">
        <v>171</v>
      </c>
      <c r="O953" s="10">
        <v>2013</v>
      </c>
    </row>
    <row r="954" spans="3:15" s="9" customFormat="1" ht="12.75">
      <c r="C954" s="9">
        <v>4852617</v>
      </c>
      <c r="E954" s="11">
        <v>4863348</v>
      </c>
      <c r="F954" s="12">
        <f t="shared" si="30"/>
        <v>10731</v>
      </c>
      <c r="M954" s="13" t="s">
        <v>236</v>
      </c>
      <c r="N954" s="9" t="s">
        <v>171</v>
      </c>
      <c r="O954" s="10">
        <v>2008</v>
      </c>
    </row>
    <row r="955" spans="3:15" s="9" customFormat="1" ht="12.75">
      <c r="C955" s="9">
        <v>4852620</v>
      </c>
      <c r="E955" s="11">
        <v>4863351</v>
      </c>
      <c r="F955" s="12">
        <f t="shared" si="30"/>
        <v>10731</v>
      </c>
      <c r="M955" s="10">
        <v>1975</v>
      </c>
      <c r="N955" s="9" t="s">
        <v>97</v>
      </c>
      <c r="O955" s="10">
        <v>2007</v>
      </c>
    </row>
    <row r="956" spans="3:15" s="9" customFormat="1" ht="12.75">
      <c r="C956" s="9">
        <v>4852624</v>
      </c>
      <c r="E956" s="11">
        <v>4863355</v>
      </c>
      <c r="F956" s="12">
        <f t="shared" si="30"/>
        <v>10731</v>
      </c>
      <c r="K956" s="9">
        <f>1624-868</f>
        <v>756</v>
      </c>
      <c r="L956" s="9">
        <v>34868</v>
      </c>
      <c r="M956" s="10">
        <v>1975</v>
      </c>
      <c r="N956" s="9" t="s">
        <v>96</v>
      </c>
      <c r="O956" s="10">
        <v>2008</v>
      </c>
    </row>
    <row r="957" spans="3:15" s="9" customFormat="1" ht="12.75">
      <c r="C957" s="9">
        <v>4852626</v>
      </c>
      <c r="E957" s="11">
        <v>4863357</v>
      </c>
      <c r="F957" s="12">
        <f t="shared" si="30"/>
        <v>10731</v>
      </c>
      <c r="M957" s="10"/>
      <c r="O957" s="10">
        <v>2005</v>
      </c>
    </row>
    <row r="958" spans="3:15" s="9" customFormat="1" ht="12.75">
      <c r="C958" s="9">
        <v>4852629</v>
      </c>
      <c r="E958" s="11">
        <v>4863360</v>
      </c>
      <c r="F958" s="12">
        <v>10731</v>
      </c>
      <c r="M958" s="13" t="s">
        <v>238</v>
      </c>
      <c r="N958" s="9" t="s">
        <v>96</v>
      </c>
      <c r="O958" s="10"/>
    </row>
    <row r="959" spans="3:15" s="9" customFormat="1" ht="12.75">
      <c r="C959" s="9">
        <v>4852630</v>
      </c>
      <c r="E959" s="11">
        <v>4863361</v>
      </c>
      <c r="F959" s="12">
        <f aca="true" t="shared" si="31" ref="F959:F998">E959-C959</f>
        <v>10731</v>
      </c>
      <c r="M959" s="10">
        <v>1975</v>
      </c>
      <c r="O959" s="10">
        <v>2005</v>
      </c>
    </row>
    <row r="960" spans="3:15" s="9" customFormat="1" ht="12.75">
      <c r="C960" s="9">
        <v>4852636</v>
      </c>
      <c r="E960" s="11">
        <v>4863367</v>
      </c>
      <c r="F960" s="12">
        <f t="shared" si="31"/>
        <v>10731</v>
      </c>
      <c r="K960" s="9">
        <f>1636-880</f>
        <v>756</v>
      </c>
      <c r="L960" s="9">
        <v>34880</v>
      </c>
      <c r="M960" s="10">
        <v>1975</v>
      </c>
      <c r="N960" s="9" t="s">
        <v>96</v>
      </c>
      <c r="O960" s="10">
        <v>2004</v>
      </c>
    </row>
    <row r="961" spans="3:15" s="9" customFormat="1" ht="12.75">
      <c r="C961" s="9">
        <v>4852637</v>
      </c>
      <c r="E961" s="11">
        <v>4863368</v>
      </c>
      <c r="F961" s="12">
        <f t="shared" si="31"/>
        <v>10731</v>
      </c>
      <c r="K961" s="9">
        <v>756</v>
      </c>
      <c r="L961" s="9">
        <v>34881</v>
      </c>
      <c r="M961" s="10">
        <v>1975</v>
      </c>
      <c r="N961" s="9" t="s">
        <v>96</v>
      </c>
      <c r="O961" s="10">
        <v>2008</v>
      </c>
    </row>
    <row r="962" spans="3:15" s="9" customFormat="1" ht="12.75">
      <c r="C962" s="9">
        <v>4852641</v>
      </c>
      <c r="E962" s="11">
        <v>4863372</v>
      </c>
      <c r="F962" s="12">
        <f t="shared" si="31"/>
        <v>10731</v>
      </c>
      <c r="M962" s="10">
        <v>1975</v>
      </c>
      <c r="N962" s="9" t="s">
        <v>96</v>
      </c>
      <c r="O962" s="10">
        <v>2006</v>
      </c>
    </row>
    <row r="963" spans="3:15" s="9" customFormat="1" ht="12.75">
      <c r="C963" s="9">
        <v>4852643</v>
      </c>
      <c r="E963" s="11">
        <v>4863374</v>
      </c>
      <c r="F963" s="12">
        <f t="shared" si="31"/>
        <v>10731</v>
      </c>
      <c r="M963" s="10"/>
      <c r="O963" s="10">
        <v>2005</v>
      </c>
    </row>
    <row r="964" spans="3:15" s="9" customFormat="1" ht="12.75">
      <c r="C964" s="9">
        <v>4852645</v>
      </c>
      <c r="E964" s="11">
        <v>4863376</v>
      </c>
      <c r="F964" s="12">
        <f t="shared" si="31"/>
        <v>10731</v>
      </c>
      <c r="K964" s="9">
        <v>756</v>
      </c>
      <c r="L964" s="9">
        <v>34889</v>
      </c>
      <c r="M964" s="10">
        <v>1975</v>
      </c>
      <c r="N964" s="9" t="s">
        <v>96</v>
      </c>
      <c r="O964" s="10">
        <v>2008</v>
      </c>
    </row>
    <row r="965" spans="3:15" s="9" customFormat="1" ht="12.75">
      <c r="C965" s="9">
        <v>4852646</v>
      </c>
      <c r="E965" s="11">
        <v>4863377</v>
      </c>
      <c r="F965" s="12">
        <f t="shared" si="31"/>
        <v>10731</v>
      </c>
      <c r="K965" s="9">
        <v>756</v>
      </c>
      <c r="L965" s="9">
        <v>34890</v>
      </c>
      <c r="M965" s="10">
        <v>1975</v>
      </c>
      <c r="N965" s="9" t="s">
        <v>96</v>
      </c>
      <c r="O965" s="10">
        <v>2008</v>
      </c>
    </row>
    <row r="966" spans="3:15" s="9" customFormat="1" ht="12.75">
      <c r="C966" s="9">
        <v>4852650</v>
      </c>
      <c r="E966" s="11">
        <v>4863381</v>
      </c>
      <c r="F966" s="12">
        <f t="shared" si="31"/>
        <v>10731</v>
      </c>
      <c r="M966" s="13" t="s">
        <v>238</v>
      </c>
      <c r="N966" s="9" t="s">
        <v>171</v>
      </c>
      <c r="O966" s="10">
        <v>2007</v>
      </c>
    </row>
    <row r="967" spans="3:15" s="9" customFormat="1" ht="12.75">
      <c r="C967" s="198">
        <v>4852651</v>
      </c>
      <c r="E967" s="11">
        <v>4863382</v>
      </c>
      <c r="F967" s="200">
        <f t="shared" si="31"/>
        <v>10731</v>
      </c>
      <c r="K967" s="9">
        <v>756</v>
      </c>
      <c r="L967" s="9">
        <v>34895</v>
      </c>
      <c r="M967" s="13">
        <v>1975</v>
      </c>
      <c r="N967" s="198" t="s">
        <v>96</v>
      </c>
      <c r="O967" s="10">
        <v>2010</v>
      </c>
    </row>
    <row r="968" spans="3:15" s="9" customFormat="1" ht="12.75">
      <c r="C968" s="198">
        <v>4852652</v>
      </c>
      <c r="E968" s="11">
        <v>4863383</v>
      </c>
      <c r="F968" s="200">
        <f t="shared" si="31"/>
        <v>10731</v>
      </c>
      <c r="M968" s="13" t="s">
        <v>239</v>
      </c>
      <c r="N968" s="9" t="s">
        <v>171</v>
      </c>
      <c r="O968" s="10">
        <v>2010</v>
      </c>
    </row>
    <row r="969" spans="3:15" s="9" customFormat="1" ht="12.75">
      <c r="C969" s="9">
        <v>4852653</v>
      </c>
      <c r="E969" s="11">
        <v>4863384</v>
      </c>
      <c r="F969" s="12">
        <f t="shared" si="31"/>
        <v>10731</v>
      </c>
      <c r="M969" s="10">
        <v>1975</v>
      </c>
      <c r="N969" s="9" t="s">
        <v>171</v>
      </c>
      <c r="O969" s="10">
        <v>2008</v>
      </c>
    </row>
    <row r="970" spans="3:15" s="9" customFormat="1" ht="12.75">
      <c r="C970" s="9">
        <v>4852655</v>
      </c>
      <c r="E970" s="11">
        <v>4863386</v>
      </c>
      <c r="F970" s="12">
        <f t="shared" si="31"/>
        <v>10731</v>
      </c>
      <c r="M970" s="13" t="s">
        <v>238</v>
      </c>
      <c r="N970" s="9" t="s">
        <v>171</v>
      </c>
      <c r="O970" s="10">
        <v>2008</v>
      </c>
    </row>
    <row r="971" spans="3:15" s="9" customFormat="1" ht="12.75">
      <c r="C971" s="9">
        <v>4852657</v>
      </c>
      <c r="E971" s="11">
        <v>4863388</v>
      </c>
      <c r="F971" s="12">
        <f t="shared" si="31"/>
        <v>10731</v>
      </c>
      <c r="M971" s="114" t="s">
        <v>238</v>
      </c>
      <c r="N971" s="9" t="s">
        <v>171</v>
      </c>
      <c r="O971" s="10">
        <v>2008</v>
      </c>
    </row>
    <row r="972" spans="3:15" s="9" customFormat="1" ht="12.75">
      <c r="C972" s="198">
        <v>4852658</v>
      </c>
      <c r="E972" s="11">
        <v>4863389</v>
      </c>
      <c r="F972" s="200">
        <f t="shared" si="31"/>
        <v>10731</v>
      </c>
      <c r="M972" s="114" t="s">
        <v>240</v>
      </c>
      <c r="N972" s="198" t="s">
        <v>171</v>
      </c>
      <c r="O972" s="10">
        <v>2010</v>
      </c>
    </row>
    <row r="973" spans="3:15" s="9" customFormat="1" ht="12.75">
      <c r="C973" s="9">
        <v>4852662</v>
      </c>
      <c r="E973" s="11">
        <v>4863393</v>
      </c>
      <c r="F973" s="12">
        <f t="shared" si="31"/>
        <v>10731</v>
      </c>
      <c r="M973" s="10">
        <v>1975</v>
      </c>
      <c r="N973" s="9" t="s">
        <v>171</v>
      </c>
      <c r="O973" s="10">
        <v>2008</v>
      </c>
    </row>
    <row r="974" spans="3:15" s="9" customFormat="1" ht="12.75">
      <c r="C974" s="9">
        <v>4852665</v>
      </c>
      <c r="E974" s="11">
        <v>4863396</v>
      </c>
      <c r="F974" s="12">
        <f t="shared" si="31"/>
        <v>10731</v>
      </c>
      <c r="K974" s="9">
        <f>1665-909</f>
        <v>756</v>
      </c>
      <c r="L974" s="9">
        <v>34909</v>
      </c>
      <c r="M974" s="10">
        <v>1975</v>
      </c>
      <c r="N974" s="198" t="s">
        <v>96</v>
      </c>
      <c r="O974" s="13">
        <v>1986</v>
      </c>
    </row>
    <row r="975" spans="3:15" s="9" customFormat="1" ht="12.75">
      <c r="C975" s="198">
        <v>4852666</v>
      </c>
      <c r="E975" s="11">
        <v>4863397</v>
      </c>
      <c r="F975" s="200">
        <f t="shared" si="31"/>
        <v>10731</v>
      </c>
      <c r="K975" s="9">
        <v>756</v>
      </c>
      <c r="L975" s="9">
        <v>34910</v>
      </c>
      <c r="M975" s="13" t="s">
        <v>240</v>
      </c>
      <c r="N975" s="198" t="s">
        <v>96</v>
      </c>
      <c r="O975" s="13">
        <v>2010</v>
      </c>
    </row>
    <row r="976" spans="3:15" s="9" customFormat="1" ht="12.75">
      <c r="C976" s="198">
        <v>4852672</v>
      </c>
      <c r="E976" s="11">
        <v>4863403</v>
      </c>
      <c r="F976" s="200">
        <f t="shared" si="31"/>
        <v>10731</v>
      </c>
      <c r="K976" s="9">
        <v>756</v>
      </c>
      <c r="L976" s="9">
        <v>34916</v>
      </c>
      <c r="M976" s="13" t="s">
        <v>241</v>
      </c>
      <c r="N976" s="198" t="s">
        <v>96</v>
      </c>
      <c r="O976" s="13">
        <v>2011</v>
      </c>
    </row>
    <row r="977" spans="3:15" s="9" customFormat="1" ht="12.75">
      <c r="C977" s="198">
        <v>4852673</v>
      </c>
      <c r="E977" s="11">
        <v>4863404</v>
      </c>
      <c r="F977" s="200">
        <f t="shared" si="31"/>
        <v>10731</v>
      </c>
      <c r="M977" s="13" t="s">
        <v>241</v>
      </c>
      <c r="N977" s="198" t="s">
        <v>96</v>
      </c>
      <c r="O977" s="13">
        <v>2010</v>
      </c>
    </row>
    <row r="978" spans="3:15" s="9" customFormat="1" ht="12.75">
      <c r="C978" s="9">
        <v>4852678</v>
      </c>
      <c r="E978" s="11">
        <v>4863409</v>
      </c>
      <c r="F978" s="12">
        <f t="shared" si="31"/>
        <v>10731</v>
      </c>
      <c r="K978" s="9">
        <f>1678-922</f>
        <v>756</v>
      </c>
      <c r="L978" s="9">
        <v>34922</v>
      </c>
      <c r="M978" s="10">
        <v>1975</v>
      </c>
      <c r="O978" s="10">
        <v>2007</v>
      </c>
    </row>
    <row r="979" spans="3:15" s="9" customFormat="1" ht="12.75">
      <c r="C979" s="198">
        <v>4852680</v>
      </c>
      <c r="E979" s="11">
        <v>4863411</v>
      </c>
      <c r="F979" s="200">
        <f t="shared" si="31"/>
        <v>10731</v>
      </c>
      <c r="K979" s="9">
        <v>756</v>
      </c>
      <c r="L979" s="9">
        <v>34924</v>
      </c>
      <c r="M979" s="10">
        <v>1975</v>
      </c>
      <c r="N979" s="198" t="s">
        <v>96</v>
      </c>
      <c r="O979" s="10" t="s">
        <v>22</v>
      </c>
    </row>
    <row r="980" spans="3:15" s="9" customFormat="1" ht="12.75">
      <c r="C980" s="9">
        <v>4852681</v>
      </c>
      <c r="E980" s="11">
        <v>4863412</v>
      </c>
      <c r="F980" s="12">
        <f t="shared" si="31"/>
        <v>10731</v>
      </c>
      <c r="M980" s="13" t="s">
        <v>241</v>
      </c>
      <c r="N980" s="16" t="s">
        <v>167</v>
      </c>
      <c r="O980" s="10">
        <v>2008</v>
      </c>
    </row>
    <row r="981" spans="3:15" s="9" customFormat="1" ht="12.75">
      <c r="C981" s="198">
        <v>4852688</v>
      </c>
      <c r="E981" s="11">
        <v>4863419</v>
      </c>
      <c r="F981" s="200">
        <f t="shared" si="31"/>
        <v>10731</v>
      </c>
      <c r="K981" s="9">
        <v>756</v>
      </c>
      <c r="L981" s="198">
        <v>34932</v>
      </c>
      <c r="M981" s="13" t="s">
        <v>241</v>
      </c>
      <c r="N981" s="198" t="s">
        <v>96</v>
      </c>
      <c r="O981" s="10">
        <v>2011</v>
      </c>
    </row>
    <row r="982" spans="3:15" s="9" customFormat="1" ht="12.75">
      <c r="C982" s="198">
        <v>4852690</v>
      </c>
      <c r="E982" s="11">
        <v>4863421</v>
      </c>
      <c r="F982" s="200">
        <f t="shared" si="31"/>
        <v>10731</v>
      </c>
      <c r="K982" s="9">
        <f>1690-934</f>
        <v>756</v>
      </c>
      <c r="L982" s="9">
        <v>34934</v>
      </c>
      <c r="M982" s="13">
        <v>1975</v>
      </c>
      <c r="N982" s="198" t="s">
        <v>96</v>
      </c>
      <c r="O982" s="10">
        <v>2010</v>
      </c>
    </row>
    <row r="983" spans="3:15" s="9" customFormat="1" ht="12.75">
      <c r="C983" s="9">
        <v>4852696</v>
      </c>
      <c r="E983" s="11">
        <v>4863427</v>
      </c>
      <c r="F983" s="12">
        <f t="shared" si="31"/>
        <v>10731</v>
      </c>
      <c r="K983" s="9">
        <v>756</v>
      </c>
      <c r="L983" s="9">
        <v>34940</v>
      </c>
      <c r="M983" s="13">
        <v>1975</v>
      </c>
      <c r="N983" s="9" t="s">
        <v>96</v>
      </c>
      <c r="O983" s="10">
        <v>2008</v>
      </c>
    </row>
    <row r="984" spans="3:15" s="9" customFormat="1" ht="12.75">
      <c r="C984" s="9">
        <v>4852704</v>
      </c>
      <c r="E984" s="11">
        <v>4863435</v>
      </c>
      <c r="F984" s="12">
        <f t="shared" si="31"/>
        <v>10731</v>
      </c>
      <c r="M984" s="13"/>
      <c r="O984" s="10" t="s">
        <v>164</v>
      </c>
    </row>
    <row r="985" spans="3:15" s="9" customFormat="1" ht="12.75">
      <c r="C985" s="9">
        <v>4852706</v>
      </c>
      <c r="E985" s="207">
        <v>4863437</v>
      </c>
      <c r="F985" s="12">
        <f t="shared" si="31"/>
        <v>10731</v>
      </c>
      <c r="M985" s="13" t="s">
        <v>242</v>
      </c>
      <c r="O985" s="10">
        <v>2009</v>
      </c>
    </row>
    <row r="986" spans="3:15" s="9" customFormat="1" ht="12.75">
      <c r="C986" s="198">
        <v>4852711</v>
      </c>
      <c r="E986" s="207">
        <v>4863442</v>
      </c>
      <c r="F986" s="12">
        <f t="shared" si="31"/>
        <v>10731</v>
      </c>
      <c r="K986" s="9">
        <v>756</v>
      </c>
      <c r="L986" s="198">
        <v>34955</v>
      </c>
      <c r="M986" s="13">
        <v>1976</v>
      </c>
      <c r="N986" s="198" t="s">
        <v>96</v>
      </c>
      <c r="O986" s="10">
        <v>2012</v>
      </c>
    </row>
    <row r="987" spans="3:15" s="9" customFormat="1" ht="12.75">
      <c r="C987" s="9">
        <v>4852714</v>
      </c>
      <c r="E987" s="11">
        <v>4863445</v>
      </c>
      <c r="F987" s="12">
        <f t="shared" si="31"/>
        <v>10731</v>
      </c>
      <c r="K987" s="9">
        <v>756</v>
      </c>
      <c r="L987" s="9">
        <v>34958</v>
      </c>
      <c r="M987" s="10">
        <v>1976</v>
      </c>
      <c r="N987" s="9" t="s">
        <v>96</v>
      </c>
      <c r="O987" s="10">
        <v>2008</v>
      </c>
    </row>
    <row r="988" spans="3:15" s="9" customFormat="1" ht="12.75">
      <c r="C988" s="9">
        <v>4852723</v>
      </c>
      <c r="E988" s="11">
        <v>4863454</v>
      </c>
      <c r="F988" s="12">
        <f t="shared" si="31"/>
        <v>10731</v>
      </c>
      <c r="K988" s="9">
        <f>1723-967</f>
        <v>756</v>
      </c>
      <c r="L988" s="9">
        <v>34967</v>
      </c>
      <c r="M988" s="10">
        <v>1976</v>
      </c>
      <c r="N988" s="9" t="s">
        <v>96</v>
      </c>
      <c r="O988" s="10">
        <v>2007</v>
      </c>
    </row>
    <row r="989" spans="3:15" s="9" customFormat="1" ht="12.75">
      <c r="C989" s="9">
        <v>4852733</v>
      </c>
      <c r="E989" s="11">
        <v>4863464</v>
      </c>
      <c r="F989" s="12">
        <f t="shared" si="31"/>
        <v>10731</v>
      </c>
      <c r="M989" s="13" t="s">
        <v>243</v>
      </c>
      <c r="O989" s="10">
        <v>2008</v>
      </c>
    </row>
    <row r="990" spans="3:15" s="9" customFormat="1" ht="12.75">
      <c r="C990" s="9">
        <v>4852735</v>
      </c>
      <c r="E990" s="11">
        <v>4863466</v>
      </c>
      <c r="F990" s="12">
        <f t="shared" si="31"/>
        <v>10731</v>
      </c>
      <c r="K990" s="9">
        <f>1735-979</f>
        <v>756</v>
      </c>
      <c r="L990" s="9">
        <v>34979</v>
      </c>
      <c r="M990" s="10">
        <v>1976</v>
      </c>
      <c r="N990" s="9" t="s">
        <v>96</v>
      </c>
      <c r="O990" s="10">
        <v>2005</v>
      </c>
    </row>
    <row r="991" spans="3:15" s="9" customFormat="1" ht="12.75">
      <c r="C991" s="9">
        <v>4852736</v>
      </c>
      <c r="E991" s="11">
        <v>4863467</v>
      </c>
      <c r="F991" s="12">
        <f t="shared" si="31"/>
        <v>10731</v>
      </c>
      <c r="K991" s="9">
        <v>756</v>
      </c>
      <c r="L991" s="9">
        <v>34980</v>
      </c>
      <c r="M991" s="10">
        <v>1976</v>
      </c>
      <c r="N991" s="9" t="s">
        <v>96</v>
      </c>
      <c r="O991" s="10">
        <v>2008</v>
      </c>
    </row>
    <row r="992" spans="3:15" s="9" customFormat="1" ht="12.75">
      <c r="C992" s="9">
        <v>4852737</v>
      </c>
      <c r="E992" s="11">
        <v>4863468</v>
      </c>
      <c r="F992" s="12">
        <f t="shared" si="31"/>
        <v>10731</v>
      </c>
      <c r="K992" s="9">
        <v>756</v>
      </c>
      <c r="L992" s="9">
        <v>34981</v>
      </c>
      <c r="M992" s="10">
        <v>1976</v>
      </c>
      <c r="N992" s="9" t="s">
        <v>96</v>
      </c>
      <c r="O992" s="10">
        <v>2009</v>
      </c>
    </row>
    <row r="993" spans="3:15" s="9" customFormat="1" ht="12.75">
      <c r="C993" s="9">
        <v>4852740</v>
      </c>
      <c r="E993" s="11">
        <v>4863471</v>
      </c>
      <c r="F993" s="12">
        <f t="shared" si="31"/>
        <v>10731</v>
      </c>
      <c r="M993" s="13" t="s">
        <v>243</v>
      </c>
      <c r="O993" s="10">
        <v>2008</v>
      </c>
    </row>
    <row r="994" spans="3:15" s="9" customFormat="1" ht="12.75">
      <c r="C994" s="9">
        <v>4852743</v>
      </c>
      <c r="E994" s="9">
        <v>4863474</v>
      </c>
      <c r="F994" s="12">
        <f t="shared" si="31"/>
        <v>10731</v>
      </c>
      <c r="K994" s="9">
        <f>1743-987</f>
        <v>756</v>
      </c>
      <c r="L994" s="9">
        <v>34987</v>
      </c>
      <c r="M994" s="10">
        <v>1976</v>
      </c>
      <c r="N994" s="9" t="s">
        <v>215</v>
      </c>
      <c r="O994" s="10"/>
    </row>
    <row r="995" spans="3:15" s="9" customFormat="1" ht="12.75">
      <c r="C995" s="9">
        <v>4852745</v>
      </c>
      <c r="E995" s="11">
        <v>4863476</v>
      </c>
      <c r="F995" s="12">
        <f t="shared" si="31"/>
        <v>10731</v>
      </c>
      <c r="M995" s="10">
        <v>1976</v>
      </c>
      <c r="O995" s="10">
        <v>2006</v>
      </c>
    </row>
    <row r="996" spans="3:15" s="9" customFormat="1" ht="12.75">
      <c r="C996" s="9">
        <v>4852748</v>
      </c>
      <c r="E996" s="11">
        <v>4863479</v>
      </c>
      <c r="F996" s="12">
        <f t="shared" si="31"/>
        <v>10731</v>
      </c>
      <c r="K996" s="9">
        <f>1748-992</f>
        <v>756</v>
      </c>
      <c r="L996" s="9">
        <v>34992</v>
      </c>
      <c r="M996" s="10">
        <v>1976</v>
      </c>
      <c r="N996" s="9" t="s">
        <v>96</v>
      </c>
      <c r="O996" s="10">
        <v>2008</v>
      </c>
    </row>
    <row r="997" spans="3:15" s="9" customFormat="1" ht="12.75">
      <c r="C997" s="198">
        <v>4852751</v>
      </c>
      <c r="E997" s="11">
        <v>4863482</v>
      </c>
      <c r="F997" s="12">
        <f t="shared" si="31"/>
        <v>10731</v>
      </c>
      <c r="M997" s="13" t="s">
        <v>244</v>
      </c>
      <c r="O997" s="10">
        <v>2009</v>
      </c>
    </row>
    <row r="998" spans="3:15" s="9" customFormat="1" ht="12.75">
      <c r="C998" s="9">
        <v>4852752</v>
      </c>
      <c r="E998" s="11">
        <v>4863483</v>
      </c>
      <c r="F998" s="12">
        <f t="shared" si="31"/>
        <v>10731</v>
      </c>
      <c r="M998" s="13" t="s">
        <v>244</v>
      </c>
      <c r="O998" s="10">
        <v>2008</v>
      </c>
    </row>
    <row r="999" spans="3:15" s="9" customFormat="1" ht="12.75">
      <c r="C999" s="9">
        <v>4852756</v>
      </c>
      <c r="E999" s="263">
        <v>4863487</v>
      </c>
      <c r="F999" s="12">
        <v>10731</v>
      </c>
      <c r="K999" s="9">
        <v>756</v>
      </c>
      <c r="L999" s="9">
        <v>35000</v>
      </c>
      <c r="M999" s="13" t="s">
        <v>244</v>
      </c>
      <c r="N999" s="9" t="s">
        <v>96</v>
      </c>
      <c r="O999" s="10">
        <v>2020</v>
      </c>
    </row>
    <row r="1000" spans="3:15" s="9" customFormat="1" ht="12.75">
      <c r="C1000" s="9">
        <v>4852758</v>
      </c>
      <c r="E1000" s="11">
        <v>4863489</v>
      </c>
      <c r="F1000" s="12">
        <f aca="true" t="shared" si="32" ref="F1000:F1014">E1000-C1000</f>
        <v>10731</v>
      </c>
      <c r="M1000" s="114" t="s">
        <v>244</v>
      </c>
      <c r="N1000" s="9" t="s">
        <v>96</v>
      </c>
      <c r="O1000" s="10">
        <v>2008</v>
      </c>
    </row>
    <row r="1001" spans="3:15" s="9" customFormat="1" ht="12.75">
      <c r="C1001" s="198">
        <v>4852762</v>
      </c>
      <c r="E1001" s="11">
        <v>4863493</v>
      </c>
      <c r="F1001" s="200">
        <f t="shared" si="32"/>
        <v>10731</v>
      </c>
      <c r="M1001" s="114" t="s">
        <v>245</v>
      </c>
      <c r="N1001" s="198" t="s">
        <v>96</v>
      </c>
      <c r="O1001" s="10">
        <v>2016</v>
      </c>
    </row>
    <row r="1002" spans="3:15" s="9" customFormat="1" ht="12.75">
      <c r="C1002" s="9">
        <v>4852767</v>
      </c>
      <c r="E1002" s="11">
        <v>4863498</v>
      </c>
      <c r="F1002" s="12">
        <f t="shared" si="32"/>
        <v>10731</v>
      </c>
      <c r="M1002" s="114"/>
      <c r="O1002" s="10" t="s">
        <v>164</v>
      </c>
    </row>
    <row r="1003" spans="3:15" s="9" customFormat="1" ht="12.75">
      <c r="C1003" s="9">
        <v>4852768</v>
      </c>
      <c r="E1003" s="11">
        <v>4863499</v>
      </c>
      <c r="F1003" s="12">
        <f t="shared" si="32"/>
        <v>10731</v>
      </c>
      <c r="M1003" s="10">
        <v>1976</v>
      </c>
      <c r="O1003" s="10">
        <v>2007</v>
      </c>
    </row>
    <row r="1004" spans="3:15" s="9" customFormat="1" ht="12.75">
      <c r="C1004" s="9">
        <v>4852772</v>
      </c>
      <c r="E1004" s="11">
        <v>4863503</v>
      </c>
      <c r="F1004" s="12">
        <f t="shared" si="32"/>
        <v>10731</v>
      </c>
      <c r="K1004" s="9">
        <f>772-16</f>
        <v>756</v>
      </c>
      <c r="L1004" s="9">
        <v>35016</v>
      </c>
      <c r="M1004" s="10">
        <v>1976</v>
      </c>
      <c r="N1004" s="9" t="s">
        <v>96</v>
      </c>
      <c r="O1004" s="10">
        <v>2010</v>
      </c>
    </row>
    <row r="1005" spans="3:16" s="9" customFormat="1" ht="12.75">
      <c r="C1005" s="198">
        <v>4852773</v>
      </c>
      <c r="E1005" s="11">
        <v>4863504</v>
      </c>
      <c r="F1005" s="200">
        <f t="shared" si="32"/>
        <v>10731</v>
      </c>
      <c r="K1005" s="9">
        <v>756</v>
      </c>
      <c r="L1005" s="9">
        <v>35017</v>
      </c>
      <c r="M1005" s="13" t="s">
        <v>244</v>
      </c>
      <c r="N1005" s="198" t="s">
        <v>96</v>
      </c>
      <c r="O1005" s="10" t="s">
        <v>148</v>
      </c>
      <c r="P1005" s="198" t="s">
        <v>22</v>
      </c>
    </row>
    <row r="1006" spans="3:15" s="9" customFormat="1" ht="12.75">
      <c r="C1006" s="9">
        <v>4852774</v>
      </c>
      <c r="E1006" s="11">
        <v>4863505</v>
      </c>
      <c r="F1006" s="12">
        <f t="shared" si="32"/>
        <v>10731</v>
      </c>
      <c r="M1006" s="13" t="s">
        <v>244</v>
      </c>
      <c r="N1006" s="9" t="s">
        <v>96</v>
      </c>
      <c r="O1006" s="10">
        <v>2009</v>
      </c>
    </row>
    <row r="1007" spans="3:15" s="9" customFormat="1" ht="12.75">
      <c r="C1007" s="9">
        <v>4852777</v>
      </c>
      <c r="E1007" s="11">
        <v>4863508</v>
      </c>
      <c r="F1007" s="12">
        <f t="shared" si="32"/>
        <v>10731</v>
      </c>
      <c r="K1007" s="9">
        <f>777-21</f>
        <v>756</v>
      </c>
      <c r="L1007" s="9">
        <v>35021</v>
      </c>
      <c r="M1007" s="10">
        <v>1976</v>
      </c>
      <c r="N1007" s="9" t="s">
        <v>96</v>
      </c>
      <c r="O1007" s="10">
        <v>2006</v>
      </c>
    </row>
    <row r="1008" spans="3:15" s="9" customFormat="1" ht="12.75">
      <c r="C1008" s="9">
        <v>4852779</v>
      </c>
      <c r="E1008" s="11">
        <v>4863510</v>
      </c>
      <c r="F1008" s="12">
        <f t="shared" si="32"/>
        <v>10731</v>
      </c>
      <c r="M1008" s="10"/>
      <c r="O1008" s="10">
        <v>1999</v>
      </c>
    </row>
    <row r="1009" spans="3:15" s="9" customFormat="1" ht="12.75">
      <c r="C1009" s="198">
        <v>4852788</v>
      </c>
      <c r="E1009" s="11">
        <v>4863519</v>
      </c>
      <c r="F1009" s="200">
        <f t="shared" si="32"/>
        <v>10731</v>
      </c>
      <c r="K1009" s="9">
        <v>756</v>
      </c>
      <c r="L1009" s="198">
        <v>35032</v>
      </c>
      <c r="M1009" s="10">
        <v>1976</v>
      </c>
      <c r="N1009" s="198" t="s">
        <v>96</v>
      </c>
      <c r="O1009" s="10">
        <v>2011</v>
      </c>
    </row>
    <row r="1010" spans="3:15" s="9" customFormat="1" ht="12.75">
      <c r="C1010" s="9">
        <v>4852791</v>
      </c>
      <c r="E1010" s="11">
        <v>4863522</v>
      </c>
      <c r="F1010" s="12">
        <f t="shared" si="32"/>
        <v>10731</v>
      </c>
      <c r="M1010" s="10"/>
      <c r="O1010" s="10" t="s">
        <v>164</v>
      </c>
    </row>
    <row r="1011" spans="3:15" s="9" customFormat="1" ht="12.75">
      <c r="C1011" s="9">
        <v>4852794</v>
      </c>
      <c r="E1011" s="11">
        <v>4863525</v>
      </c>
      <c r="F1011" s="12">
        <f t="shared" si="32"/>
        <v>10731</v>
      </c>
      <c r="K1011" s="9">
        <f>794-38</f>
        <v>756</v>
      </c>
      <c r="L1011" s="9">
        <v>35038</v>
      </c>
      <c r="M1011" s="13" t="s">
        <v>246</v>
      </c>
      <c r="N1011" s="9" t="s">
        <v>96</v>
      </c>
      <c r="O1011" s="10">
        <v>2008</v>
      </c>
    </row>
    <row r="1012" spans="3:15" s="9" customFormat="1" ht="12.75">
      <c r="C1012" s="9">
        <v>4852799</v>
      </c>
      <c r="E1012" s="11">
        <v>4863530</v>
      </c>
      <c r="F1012" s="12">
        <f t="shared" si="32"/>
        <v>10731</v>
      </c>
      <c r="K1012" s="9">
        <v>756</v>
      </c>
      <c r="L1012" s="9">
        <v>35043</v>
      </c>
      <c r="M1012" s="13">
        <v>1976</v>
      </c>
      <c r="N1012" s="9" t="s">
        <v>96</v>
      </c>
      <c r="O1012" s="10" t="s">
        <v>51</v>
      </c>
    </row>
    <row r="1013" spans="3:15" s="9" customFormat="1" ht="12.75">
      <c r="C1013" s="9">
        <v>4852800</v>
      </c>
      <c r="E1013" s="11">
        <v>4863531</v>
      </c>
      <c r="F1013" s="12">
        <f t="shared" si="32"/>
        <v>10731</v>
      </c>
      <c r="K1013" s="9">
        <v>156</v>
      </c>
      <c r="L1013" s="9">
        <v>35644</v>
      </c>
      <c r="M1013" s="10">
        <v>1976</v>
      </c>
      <c r="N1013" s="9" t="s">
        <v>96</v>
      </c>
      <c r="O1013" s="10">
        <v>2004</v>
      </c>
    </row>
    <row r="1014" spans="3:15" s="9" customFormat="1" ht="12.75">
      <c r="C1014" s="9">
        <v>4852801</v>
      </c>
      <c r="E1014" s="11">
        <v>4863532</v>
      </c>
      <c r="F1014" s="12">
        <f t="shared" si="32"/>
        <v>10731</v>
      </c>
      <c r="K1014" s="9">
        <f>801-645</f>
        <v>156</v>
      </c>
      <c r="L1014" s="9">
        <v>35645</v>
      </c>
      <c r="M1014" s="10">
        <v>1976</v>
      </c>
      <c r="N1014" s="9" t="s">
        <v>96</v>
      </c>
      <c r="O1014" s="10">
        <v>2008</v>
      </c>
    </row>
    <row r="1015" spans="3:15" s="9" customFormat="1" ht="12.75">
      <c r="C1015" s="9">
        <v>4852805</v>
      </c>
      <c r="E1015" s="9">
        <v>4863536</v>
      </c>
      <c r="F1015" s="12">
        <v>10731</v>
      </c>
      <c r="K1015" s="9">
        <v>156</v>
      </c>
      <c r="L1015" s="9">
        <v>35649</v>
      </c>
      <c r="M1015" s="10">
        <v>1976</v>
      </c>
      <c r="N1015" s="9" t="s">
        <v>96</v>
      </c>
      <c r="O1015" s="10"/>
    </row>
    <row r="1016" spans="3:15" s="9" customFormat="1" ht="12.75">
      <c r="C1016" s="198">
        <v>4852808</v>
      </c>
      <c r="E1016" s="201">
        <v>4863539</v>
      </c>
      <c r="F1016" s="12">
        <f aca="true" t="shared" si="33" ref="F1016:F1044">E1016-C1016</f>
        <v>10731</v>
      </c>
      <c r="K1016" s="198">
        <v>156</v>
      </c>
      <c r="L1016" s="198">
        <v>35652</v>
      </c>
      <c r="M1016" s="13" t="s">
        <v>247</v>
      </c>
      <c r="N1016" s="198" t="s">
        <v>96</v>
      </c>
      <c r="O1016" s="10">
        <v>2011</v>
      </c>
    </row>
    <row r="1017" spans="3:15" s="9" customFormat="1" ht="12.75">
      <c r="C1017" s="9">
        <v>4852812</v>
      </c>
      <c r="E1017" s="11">
        <v>4863543</v>
      </c>
      <c r="F1017" s="12">
        <f t="shared" si="33"/>
        <v>10731</v>
      </c>
      <c r="M1017" s="10">
        <v>1976</v>
      </c>
      <c r="O1017" s="10">
        <v>2000</v>
      </c>
    </row>
    <row r="1018" spans="3:15" s="9" customFormat="1" ht="12.75">
      <c r="C1018" s="9">
        <v>4852815</v>
      </c>
      <c r="E1018" s="11">
        <v>4863546</v>
      </c>
      <c r="F1018" s="12">
        <f t="shared" si="33"/>
        <v>10731</v>
      </c>
      <c r="M1018" s="10"/>
      <c r="O1018" s="10">
        <v>2008</v>
      </c>
    </row>
    <row r="1019" spans="3:15" s="9" customFormat="1" ht="12.75">
      <c r="C1019" s="9">
        <v>4852821</v>
      </c>
      <c r="E1019" s="11">
        <v>4863552</v>
      </c>
      <c r="F1019" s="12">
        <f t="shared" si="33"/>
        <v>10731</v>
      </c>
      <c r="L1019" s="16"/>
      <c r="M1019" s="13" t="s">
        <v>247</v>
      </c>
      <c r="O1019" s="10">
        <v>2008</v>
      </c>
    </row>
    <row r="1020" spans="3:15" s="9" customFormat="1" ht="12.75">
      <c r="C1020" s="198">
        <v>4852824</v>
      </c>
      <c r="E1020" s="11">
        <v>4863555</v>
      </c>
      <c r="F1020" s="200">
        <f t="shared" si="33"/>
        <v>10731</v>
      </c>
      <c r="L1020" s="16"/>
      <c r="M1020" s="13" t="s">
        <v>242</v>
      </c>
      <c r="N1020" s="9" t="s">
        <v>96</v>
      </c>
      <c r="O1020" s="10">
        <v>2010</v>
      </c>
    </row>
    <row r="1021" spans="3:15" s="9" customFormat="1" ht="12.75">
      <c r="C1021" s="9">
        <v>4852827</v>
      </c>
      <c r="E1021" s="11">
        <v>4863558</v>
      </c>
      <c r="F1021" s="12">
        <f t="shared" si="33"/>
        <v>10731</v>
      </c>
      <c r="M1021" s="13" t="s">
        <v>242</v>
      </c>
      <c r="O1021" s="10">
        <v>2008</v>
      </c>
    </row>
    <row r="1022" spans="3:15" s="9" customFormat="1" ht="12.75">
      <c r="C1022" s="9">
        <v>4852828</v>
      </c>
      <c r="E1022" s="11">
        <v>4863559</v>
      </c>
      <c r="F1022" s="12">
        <f t="shared" si="33"/>
        <v>10731</v>
      </c>
      <c r="M1022" s="13"/>
      <c r="O1022" s="10">
        <v>2009</v>
      </c>
    </row>
    <row r="1023" spans="3:15" s="9" customFormat="1" ht="12.75">
      <c r="C1023" s="9">
        <v>4852834</v>
      </c>
      <c r="E1023" s="11">
        <v>4863565</v>
      </c>
      <c r="F1023" s="12">
        <f t="shared" si="33"/>
        <v>10731</v>
      </c>
      <c r="M1023" s="13" t="s">
        <v>242</v>
      </c>
      <c r="O1023" s="10">
        <v>2006</v>
      </c>
    </row>
    <row r="1024" spans="3:15" s="9" customFormat="1" ht="12.75">
      <c r="C1024" s="9">
        <v>4852841</v>
      </c>
      <c r="E1024" s="11">
        <v>4863572</v>
      </c>
      <c r="F1024" s="12">
        <f t="shared" si="33"/>
        <v>10731</v>
      </c>
      <c r="M1024" s="10"/>
      <c r="O1024" s="10">
        <v>2008</v>
      </c>
    </row>
    <row r="1025" spans="3:15" s="9" customFormat="1" ht="12.75">
      <c r="C1025" s="9">
        <v>4852843</v>
      </c>
      <c r="E1025" s="11">
        <v>4863574</v>
      </c>
      <c r="F1025" s="12">
        <f t="shared" si="33"/>
        <v>10731</v>
      </c>
      <c r="M1025" s="10"/>
      <c r="O1025" s="10">
        <v>2008</v>
      </c>
    </row>
    <row r="1026" spans="3:15" s="9" customFormat="1" ht="12.75">
      <c r="C1026" s="198">
        <v>4852844</v>
      </c>
      <c r="E1026" s="11">
        <v>4863575</v>
      </c>
      <c r="F1026" s="200">
        <f t="shared" si="33"/>
        <v>10731</v>
      </c>
      <c r="K1026" s="9">
        <f>844-768</f>
        <v>76</v>
      </c>
      <c r="L1026" s="9">
        <v>35768</v>
      </c>
      <c r="M1026" s="10">
        <v>1976</v>
      </c>
      <c r="N1026" s="9" t="s">
        <v>96</v>
      </c>
      <c r="O1026" s="10">
        <v>2010</v>
      </c>
    </row>
    <row r="1027" spans="3:15" s="9" customFormat="1" ht="12.75">
      <c r="C1027" s="9">
        <v>4852846</v>
      </c>
      <c r="E1027" s="11">
        <v>4863577</v>
      </c>
      <c r="F1027" s="12">
        <f t="shared" si="33"/>
        <v>10731</v>
      </c>
      <c r="M1027" s="10"/>
      <c r="O1027" s="10" t="s">
        <v>164</v>
      </c>
    </row>
    <row r="1028" spans="3:15" s="9" customFormat="1" ht="12.75">
      <c r="C1028" s="9">
        <v>4852849</v>
      </c>
      <c r="E1028" s="11">
        <v>4863580</v>
      </c>
      <c r="F1028" s="12">
        <f t="shared" si="33"/>
        <v>10731</v>
      </c>
      <c r="M1028" s="10"/>
      <c r="O1028" s="10" t="s">
        <v>164</v>
      </c>
    </row>
    <row r="1029" spans="3:15" s="9" customFormat="1" ht="12.75">
      <c r="C1029" s="9">
        <v>4852853</v>
      </c>
      <c r="E1029" s="11">
        <v>4863584</v>
      </c>
      <c r="F1029" s="12">
        <f t="shared" si="33"/>
        <v>10731</v>
      </c>
      <c r="M1029" s="10">
        <v>1976</v>
      </c>
      <c r="O1029" s="10">
        <v>2007</v>
      </c>
    </row>
    <row r="1030" spans="3:15" s="9" customFormat="1" ht="12.75">
      <c r="C1030" s="9">
        <v>4852854</v>
      </c>
      <c r="E1030" s="11">
        <v>4863585</v>
      </c>
      <c r="F1030" s="12">
        <f t="shared" si="33"/>
        <v>10731</v>
      </c>
      <c r="M1030" s="10">
        <v>1976</v>
      </c>
      <c r="O1030" s="10">
        <v>2007</v>
      </c>
    </row>
    <row r="1031" spans="3:15" s="9" customFormat="1" ht="12.75">
      <c r="C1031" s="198">
        <v>4852855</v>
      </c>
      <c r="E1031" s="11">
        <v>4863586</v>
      </c>
      <c r="F1031" s="200">
        <f t="shared" si="33"/>
        <v>10731</v>
      </c>
      <c r="M1031" s="114" t="s">
        <v>248</v>
      </c>
      <c r="N1031" s="9" t="s">
        <v>249</v>
      </c>
      <c r="O1031" s="10">
        <v>2010</v>
      </c>
    </row>
    <row r="1032" spans="3:15" s="9" customFormat="1" ht="12.75">
      <c r="C1032" s="9">
        <v>4852860</v>
      </c>
      <c r="E1032" s="11">
        <v>4863591</v>
      </c>
      <c r="F1032" s="12">
        <f t="shared" si="33"/>
        <v>10731</v>
      </c>
      <c r="K1032" s="9">
        <v>76</v>
      </c>
      <c r="L1032" s="9">
        <v>35784</v>
      </c>
      <c r="M1032" s="13" t="s">
        <v>250</v>
      </c>
      <c r="N1032" s="9" t="s">
        <v>96</v>
      </c>
      <c r="O1032" s="41">
        <v>1993</v>
      </c>
    </row>
    <row r="1033" spans="3:15" s="9" customFormat="1" ht="12.75">
      <c r="C1033" s="9">
        <v>4852862</v>
      </c>
      <c r="E1033" s="11">
        <v>4863593</v>
      </c>
      <c r="F1033" s="12">
        <f t="shared" si="33"/>
        <v>10731</v>
      </c>
      <c r="K1033" s="9">
        <v>76</v>
      </c>
      <c r="L1033" s="9">
        <v>35786</v>
      </c>
      <c r="M1033" s="13" t="s">
        <v>250</v>
      </c>
      <c r="N1033" s="9" t="s">
        <v>96</v>
      </c>
      <c r="O1033" s="41">
        <v>1993</v>
      </c>
    </row>
    <row r="1034" spans="3:15" s="9" customFormat="1" ht="12.75">
      <c r="C1034" s="9">
        <v>4852863</v>
      </c>
      <c r="E1034" s="11">
        <v>4863594</v>
      </c>
      <c r="F1034" s="12">
        <f t="shared" si="33"/>
        <v>10731</v>
      </c>
      <c r="H1034" s="16"/>
      <c r="I1034" s="16"/>
      <c r="J1034" s="16"/>
      <c r="K1034" s="9">
        <f>863-787</f>
        <v>76</v>
      </c>
      <c r="L1034" s="9">
        <v>35787</v>
      </c>
      <c r="M1034" s="10">
        <v>1976</v>
      </c>
      <c r="N1034" s="9" t="s">
        <v>96</v>
      </c>
      <c r="O1034" s="10" t="s">
        <v>222</v>
      </c>
    </row>
    <row r="1035" spans="3:15" s="9" customFormat="1" ht="12.75">
      <c r="C1035" s="9">
        <v>4852865</v>
      </c>
      <c r="E1035" s="11">
        <v>4863596</v>
      </c>
      <c r="F1035" s="12">
        <f t="shared" si="33"/>
        <v>10731</v>
      </c>
      <c r="H1035" s="16"/>
      <c r="I1035" s="16"/>
      <c r="J1035" s="16"/>
      <c r="K1035" s="9">
        <v>76</v>
      </c>
      <c r="L1035" s="9">
        <v>35789</v>
      </c>
      <c r="M1035" s="13" t="s">
        <v>250</v>
      </c>
      <c r="N1035" s="9" t="s">
        <v>96</v>
      </c>
      <c r="O1035" s="10">
        <v>2008</v>
      </c>
    </row>
    <row r="1036" spans="3:15" s="9" customFormat="1" ht="12.75">
      <c r="C1036" s="9">
        <v>4852866</v>
      </c>
      <c r="E1036" s="11">
        <v>4863597</v>
      </c>
      <c r="F1036" s="12">
        <f t="shared" si="33"/>
        <v>10731</v>
      </c>
      <c r="K1036" s="9">
        <v>76</v>
      </c>
      <c r="L1036" s="9">
        <v>35790</v>
      </c>
      <c r="M1036" s="10">
        <v>1976</v>
      </c>
      <c r="N1036" s="9" t="s">
        <v>215</v>
      </c>
      <c r="O1036" s="10">
        <v>2006</v>
      </c>
    </row>
    <row r="1037" spans="3:15" s="9" customFormat="1" ht="12.75">
      <c r="C1037" s="9">
        <v>4852870</v>
      </c>
      <c r="E1037" s="11">
        <v>4863601</v>
      </c>
      <c r="F1037" s="12">
        <f t="shared" si="33"/>
        <v>10731</v>
      </c>
      <c r="K1037" s="9">
        <v>76</v>
      </c>
      <c r="L1037" s="9">
        <v>35794</v>
      </c>
      <c r="M1037" s="10">
        <v>1976</v>
      </c>
      <c r="N1037" s="9" t="s">
        <v>96</v>
      </c>
      <c r="O1037" s="10">
        <v>2008</v>
      </c>
    </row>
    <row r="1038" spans="3:15" s="9" customFormat="1" ht="12.75">
      <c r="C1038" s="9">
        <v>4852875</v>
      </c>
      <c r="E1038" s="11">
        <v>4863606</v>
      </c>
      <c r="F1038" s="12">
        <f t="shared" si="33"/>
        <v>10731</v>
      </c>
      <c r="M1038" s="13" t="s">
        <v>250</v>
      </c>
      <c r="N1038" s="9" t="s">
        <v>96</v>
      </c>
      <c r="O1038" s="10">
        <v>2009</v>
      </c>
    </row>
    <row r="1039" spans="3:15" s="9" customFormat="1" ht="12.75">
      <c r="C1039" s="9">
        <v>4852880</v>
      </c>
      <c r="E1039" s="11">
        <v>4863611</v>
      </c>
      <c r="F1039" s="12">
        <f t="shared" si="33"/>
        <v>10731</v>
      </c>
      <c r="H1039" s="16"/>
      <c r="I1039" s="16"/>
      <c r="J1039" s="16"/>
      <c r="K1039" s="9">
        <f>880-804</f>
        <v>76</v>
      </c>
      <c r="L1039" s="9">
        <v>35804</v>
      </c>
      <c r="M1039" s="10">
        <v>1976</v>
      </c>
      <c r="N1039" s="9" t="s">
        <v>215</v>
      </c>
      <c r="O1039" s="10">
        <v>2006</v>
      </c>
    </row>
    <row r="1040" spans="3:15" s="9" customFormat="1" ht="12.75">
      <c r="C1040" s="9">
        <v>4852882</v>
      </c>
      <c r="E1040" s="11">
        <v>4863613</v>
      </c>
      <c r="F1040" s="12">
        <f t="shared" si="33"/>
        <v>10731</v>
      </c>
      <c r="H1040" s="16"/>
      <c r="I1040" s="16"/>
      <c r="J1040" s="16"/>
      <c r="M1040" s="13" t="s">
        <v>250</v>
      </c>
      <c r="O1040" s="10">
        <v>2008</v>
      </c>
    </row>
    <row r="1041" spans="3:15" s="9" customFormat="1" ht="12.75">
      <c r="C1041" s="9">
        <v>4852883</v>
      </c>
      <c r="E1041" s="11">
        <v>4863614</v>
      </c>
      <c r="F1041" s="12">
        <f t="shared" si="33"/>
        <v>10731</v>
      </c>
      <c r="H1041" s="16"/>
      <c r="I1041" s="16"/>
      <c r="J1041" s="16"/>
      <c r="K1041" s="9">
        <f>883-807</f>
        <v>76</v>
      </c>
      <c r="L1041" s="9">
        <v>35807</v>
      </c>
      <c r="M1041" s="13">
        <v>1976</v>
      </c>
      <c r="N1041" s="9" t="s">
        <v>96</v>
      </c>
      <c r="O1041" s="10">
        <v>2008</v>
      </c>
    </row>
    <row r="1042" spans="3:15" s="9" customFormat="1" ht="12.75">
      <c r="C1042" s="9">
        <v>4852891</v>
      </c>
      <c r="E1042" s="11">
        <v>4863622</v>
      </c>
      <c r="F1042" s="12">
        <f t="shared" si="33"/>
        <v>10731</v>
      </c>
      <c r="M1042" s="10"/>
      <c r="O1042" s="10">
        <v>2006</v>
      </c>
    </row>
    <row r="1043" spans="3:15" s="9" customFormat="1" ht="12.75">
      <c r="C1043" s="9">
        <v>4852893</v>
      </c>
      <c r="E1043" s="11">
        <v>4863624</v>
      </c>
      <c r="F1043" s="12">
        <f t="shared" si="33"/>
        <v>10731</v>
      </c>
      <c r="K1043" s="9">
        <v>76</v>
      </c>
      <c r="L1043" s="13">
        <v>35817</v>
      </c>
      <c r="M1043" s="10">
        <v>1976</v>
      </c>
      <c r="N1043" s="9" t="s">
        <v>96</v>
      </c>
      <c r="O1043" s="10" t="s">
        <v>251</v>
      </c>
    </row>
    <row r="1044" spans="3:15" s="9" customFormat="1" ht="12.75">
      <c r="C1044" s="198">
        <v>4852896</v>
      </c>
      <c r="E1044" s="11">
        <v>4863627</v>
      </c>
      <c r="F1044" s="200">
        <f t="shared" si="33"/>
        <v>10731</v>
      </c>
      <c r="L1044" s="13"/>
      <c r="M1044" s="10"/>
      <c r="O1044" s="10">
        <v>2011</v>
      </c>
    </row>
    <row r="1045" spans="3:15" s="44" customFormat="1" ht="14.25" thickBot="1">
      <c r="C1045" s="144">
        <v>4852899</v>
      </c>
      <c r="D1045" s="144"/>
      <c r="E1045" s="160"/>
      <c r="F1045" s="144"/>
      <c r="G1045" s="144"/>
      <c r="H1045" s="144"/>
      <c r="I1045" s="144"/>
      <c r="J1045" s="144"/>
      <c r="K1045" s="144"/>
      <c r="L1045" s="140" t="s">
        <v>252</v>
      </c>
      <c r="M1045" s="154"/>
      <c r="N1045" s="144" t="s">
        <v>96</v>
      </c>
      <c r="O1045" s="45"/>
    </row>
    <row r="1046" spans="3:15" s="47" customFormat="1" ht="13.5">
      <c r="C1046" s="142">
        <v>4852900</v>
      </c>
      <c r="D1046" s="142"/>
      <c r="E1046" s="159"/>
      <c r="F1046" s="142"/>
      <c r="G1046" s="142"/>
      <c r="H1046" s="142"/>
      <c r="I1046" s="142"/>
      <c r="J1046" s="142"/>
      <c r="K1046" s="142"/>
      <c r="L1046" s="155" t="s">
        <v>253</v>
      </c>
      <c r="M1046" s="141"/>
      <c r="N1046" s="142" t="s">
        <v>16</v>
      </c>
      <c r="O1046" s="49"/>
    </row>
    <row r="1047" spans="3:15" s="9" customFormat="1" ht="12.75">
      <c r="C1047" s="9">
        <v>4852905</v>
      </c>
      <c r="E1047" s="11">
        <v>4863636</v>
      </c>
      <c r="F1047" s="12">
        <f>E1047-C1047</f>
        <v>10731</v>
      </c>
      <c r="K1047" s="9">
        <v>649</v>
      </c>
      <c r="L1047" s="13">
        <v>256</v>
      </c>
      <c r="M1047" s="10">
        <v>1976</v>
      </c>
      <c r="N1047" s="9" t="s">
        <v>16</v>
      </c>
      <c r="O1047" s="10">
        <v>2009</v>
      </c>
    </row>
    <row r="1048" spans="3:15" s="9" customFormat="1" ht="12.75">
      <c r="C1048" s="9">
        <v>4852906</v>
      </c>
      <c r="E1048" s="11">
        <v>4863637</v>
      </c>
      <c r="F1048" s="12">
        <f>E1048-C1048</f>
        <v>10731</v>
      </c>
      <c r="K1048" s="9">
        <f>906-257</f>
        <v>649</v>
      </c>
      <c r="L1048" s="9">
        <v>257</v>
      </c>
      <c r="M1048" s="10">
        <v>1976</v>
      </c>
      <c r="N1048" s="9" t="s">
        <v>16</v>
      </c>
      <c r="O1048" s="10">
        <v>2006</v>
      </c>
    </row>
    <row r="1049" spans="3:15" s="9" customFormat="1" ht="12.75">
      <c r="C1049" s="10" t="s">
        <v>254</v>
      </c>
      <c r="E1049" s="11">
        <v>4863641</v>
      </c>
      <c r="F1049" s="12"/>
      <c r="L1049" s="9">
        <v>261</v>
      </c>
      <c r="M1049" s="10">
        <v>1976</v>
      </c>
      <c r="N1049" s="9" t="s">
        <v>16</v>
      </c>
      <c r="O1049" s="10">
        <v>2008</v>
      </c>
    </row>
    <row r="1050" spans="1:15" s="9" customFormat="1" ht="12.75">
      <c r="A1050" s="9">
        <v>2911</v>
      </c>
      <c r="C1050" s="9">
        <v>4852911</v>
      </c>
      <c r="E1050" s="11">
        <v>4863642</v>
      </c>
      <c r="F1050" s="12">
        <f>E1050-C1050</f>
        <v>10731</v>
      </c>
      <c r="M1050" s="10"/>
      <c r="O1050" s="10">
        <v>2005</v>
      </c>
    </row>
    <row r="1051" spans="3:15" s="9" customFormat="1" ht="12.75">
      <c r="C1051" s="13" t="s">
        <v>255</v>
      </c>
      <c r="E1051" s="11">
        <v>4863645</v>
      </c>
      <c r="F1051" s="12">
        <v>10731</v>
      </c>
      <c r="K1051" s="9">
        <f>914-265</f>
        <v>649</v>
      </c>
      <c r="L1051" s="9">
        <v>265</v>
      </c>
      <c r="M1051" s="10">
        <v>1976</v>
      </c>
      <c r="N1051" s="9" t="s">
        <v>16</v>
      </c>
      <c r="O1051" s="10">
        <v>2006</v>
      </c>
    </row>
    <row r="1052" spans="3:15" s="9" customFormat="1" ht="12.75">
      <c r="C1052" s="13">
        <v>4852916</v>
      </c>
      <c r="E1052" s="11">
        <v>4863647</v>
      </c>
      <c r="F1052" s="12">
        <f>E1052-C1052</f>
        <v>10731</v>
      </c>
      <c r="K1052" s="9">
        <v>649</v>
      </c>
      <c r="L1052" s="9">
        <v>267</v>
      </c>
      <c r="M1052" s="10">
        <v>1976</v>
      </c>
      <c r="N1052" s="9" t="s">
        <v>16</v>
      </c>
      <c r="O1052" s="10">
        <v>2008</v>
      </c>
    </row>
    <row r="1053" spans="3:15" s="9" customFormat="1" ht="12.75">
      <c r="C1053" s="13">
        <v>4852918</v>
      </c>
      <c r="E1053" s="11">
        <v>4863649</v>
      </c>
      <c r="F1053" s="12">
        <f>E1053-C1053</f>
        <v>10731</v>
      </c>
      <c r="K1053" s="9">
        <f>918-269</f>
        <v>649</v>
      </c>
      <c r="L1053" s="9">
        <v>269</v>
      </c>
      <c r="M1053" s="10">
        <v>1976</v>
      </c>
      <c r="N1053" s="9" t="s">
        <v>16</v>
      </c>
      <c r="O1053" s="10">
        <v>2008</v>
      </c>
    </row>
    <row r="1054" spans="3:15" s="9" customFormat="1" ht="12.75">
      <c r="C1054" s="13" t="s">
        <v>256</v>
      </c>
      <c r="E1054" s="11">
        <v>4863650</v>
      </c>
      <c r="F1054" s="12">
        <v>10731</v>
      </c>
      <c r="M1054" s="10">
        <v>1976</v>
      </c>
      <c r="N1054" s="9" t="s">
        <v>16</v>
      </c>
      <c r="O1054" s="10">
        <v>2007</v>
      </c>
    </row>
    <row r="1055" spans="3:15" s="9" customFormat="1" ht="12.75">
      <c r="C1055" s="13">
        <v>4852920</v>
      </c>
      <c r="E1055" s="11">
        <v>4863651</v>
      </c>
      <c r="F1055" s="12">
        <f aca="true" t="shared" si="34" ref="F1055:F1063">E1055-C1055</f>
        <v>10731</v>
      </c>
      <c r="K1055" s="9">
        <f>920-271</f>
        <v>649</v>
      </c>
      <c r="L1055" s="9">
        <v>271</v>
      </c>
      <c r="M1055" s="10">
        <v>1976</v>
      </c>
      <c r="N1055" s="9" t="s">
        <v>16</v>
      </c>
      <c r="O1055" s="10">
        <v>2008</v>
      </c>
    </row>
    <row r="1056" spans="3:15" s="9" customFormat="1" ht="12.75">
      <c r="C1056" s="9">
        <v>4852926</v>
      </c>
      <c r="E1056" s="11">
        <v>4863657</v>
      </c>
      <c r="F1056" s="12">
        <f t="shared" si="34"/>
        <v>10731</v>
      </c>
      <c r="K1056" s="9">
        <f>926-277</f>
        <v>649</v>
      </c>
      <c r="L1056" s="9">
        <v>277</v>
      </c>
      <c r="M1056" s="10">
        <v>1976</v>
      </c>
      <c r="N1056" s="9" t="s">
        <v>16</v>
      </c>
      <c r="O1056" s="10">
        <v>2003</v>
      </c>
    </row>
    <row r="1057" spans="3:15" s="9" customFormat="1" ht="12.75">
      <c r="C1057" s="9">
        <v>4852928</v>
      </c>
      <c r="E1057" s="11">
        <v>4863659</v>
      </c>
      <c r="F1057" s="12">
        <f t="shared" si="34"/>
        <v>10731</v>
      </c>
      <c r="K1057" s="9">
        <f>928-279</f>
        <v>649</v>
      </c>
      <c r="L1057" s="9">
        <v>279</v>
      </c>
      <c r="M1057" s="10">
        <v>1976</v>
      </c>
      <c r="N1057" s="9" t="s">
        <v>16</v>
      </c>
      <c r="O1057" s="10">
        <v>2008</v>
      </c>
    </row>
    <row r="1058" spans="3:15" s="9" customFormat="1" ht="12.75">
      <c r="C1058" s="208">
        <v>4852930</v>
      </c>
      <c r="E1058" s="11">
        <v>4863661</v>
      </c>
      <c r="F1058" s="200">
        <f t="shared" si="34"/>
        <v>10731</v>
      </c>
      <c r="K1058" s="9">
        <v>649</v>
      </c>
      <c r="L1058" s="198">
        <v>281</v>
      </c>
      <c r="M1058" s="10">
        <v>1976</v>
      </c>
      <c r="N1058" s="198" t="s">
        <v>16</v>
      </c>
      <c r="O1058" s="10">
        <v>2012</v>
      </c>
    </row>
    <row r="1059" spans="3:15" s="9" customFormat="1" ht="12.75">
      <c r="C1059" s="208">
        <v>4852934</v>
      </c>
      <c r="E1059" s="11">
        <v>4863665</v>
      </c>
      <c r="F1059" s="200">
        <f t="shared" si="34"/>
        <v>10731</v>
      </c>
      <c r="K1059" s="9">
        <v>649</v>
      </c>
      <c r="L1059" s="198">
        <v>285</v>
      </c>
      <c r="M1059" s="10">
        <v>1976</v>
      </c>
      <c r="N1059" s="198" t="s">
        <v>16</v>
      </c>
      <c r="O1059" s="10">
        <v>2010</v>
      </c>
    </row>
    <row r="1060" spans="3:15" s="9" customFormat="1" ht="12.75">
      <c r="C1060" s="208">
        <v>4852937</v>
      </c>
      <c r="E1060" s="11">
        <v>4863668</v>
      </c>
      <c r="F1060" s="200">
        <f t="shared" si="34"/>
        <v>10731</v>
      </c>
      <c r="K1060" s="9">
        <f>937-288</f>
        <v>649</v>
      </c>
      <c r="L1060" s="198">
        <v>288</v>
      </c>
      <c r="M1060" s="10">
        <v>1976</v>
      </c>
      <c r="N1060" s="198" t="s">
        <v>16</v>
      </c>
      <c r="O1060" s="10">
        <v>2010</v>
      </c>
    </row>
    <row r="1061" spans="3:15" s="9" customFormat="1" ht="12.75">
      <c r="C1061" s="208">
        <v>4852939</v>
      </c>
      <c r="E1061" s="11">
        <v>4863670</v>
      </c>
      <c r="F1061" s="200">
        <f t="shared" si="34"/>
        <v>10731</v>
      </c>
      <c r="K1061" s="9">
        <v>649</v>
      </c>
      <c r="L1061" s="198">
        <v>290</v>
      </c>
      <c r="M1061" s="10">
        <v>1976</v>
      </c>
      <c r="N1061" s="198" t="s">
        <v>16</v>
      </c>
      <c r="O1061" s="10" t="s">
        <v>22</v>
      </c>
    </row>
    <row r="1062" spans="3:15" s="9" customFormat="1" ht="12.75">
      <c r="C1062" s="9">
        <v>4852944</v>
      </c>
      <c r="E1062" s="11">
        <v>4863675</v>
      </c>
      <c r="F1062" s="12">
        <f t="shared" si="34"/>
        <v>10731</v>
      </c>
      <c r="K1062" s="9">
        <f>944-295</f>
        <v>649</v>
      </c>
      <c r="L1062" s="9">
        <v>295</v>
      </c>
      <c r="M1062" s="10">
        <v>1976</v>
      </c>
      <c r="N1062" s="9" t="s">
        <v>16</v>
      </c>
      <c r="O1062" s="10">
        <v>2008</v>
      </c>
    </row>
    <row r="1063" spans="3:15" s="9" customFormat="1" ht="12.75">
      <c r="C1063" s="198">
        <v>4852947</v>
      </c>
      <c r="E1063" s="11">
        <v>4863678</v>
      </c>
      <c r="F1063" s="200">
        <f t="shared" si="34"/>
        <v>10731</v>
      </c>
      <c r="K1063" s="9">
        <v>649</v>
      </c>
      <c r="L1063" s="198">
        <v>298</v>
      </c>
      <c r="M1063" s="10">
        <v>1976</v>
      </c>
      <c r="N1063" s="198" t="s">
        <v>16</v>
      </c>
      <c r="O1063" s="10">
        <v>2010</v>
      </c>
    </row>
    <row r="1064" spans="3:15" s="9" customFormat="1" ht="12.75">
      <c r="C1064" s="9">
        <v>4852948</v>
      </c>
      <c r="E1064" s="229">
        <v>4863679</v>
      </c>
      <c r="F1064" s="12">
        <v>10731</v>
      </c>
      <c r="K1064" s="9">
        <f>948-299</f>
        <v>649</v>
      </c>
      <c r="L1064" s="9">
        <v>299</v>
      </c>
      <c r="M1064" s="10">
        <v>1976</v>
      </c>
      <c r="N1064" s="9" t="s">
        <v>16</v>
      </c>
      <c r="O1064" s="10"/>
    </row>
    <row r="1065" spans="3:15" s="9" customFormat="1" ht="12.75">
      <c r="C1065" s="9">
        <v>4852950</v>
      </c>
      <c r="E1065" s="11">
        <v>4863681</v>
      </c>
      <c r="F1065" s="12">
        <f>E1065-C1065</f>
        <v>10731</v>
      </c>
      <c r="K1065" s="9">
        <v>649</v>
      </c>
      <c r="L1065" s="9">
        <v>301</v>
      </c>
      <c r="M1065" s="10">
        <v>1976</v>
      </c>
      <c r="N1065" s="9" t="s">
        <v>16</v>
      </c>
      <c r="O1065" s="10">
        <v>2008</v>
      </c>
    </row>
    <row r="1066" spans="3:15" s="9" customFormat="1" ht="12.75">
      <c r="C1066" s="9">
        <v>4852958</v>
      </c>
      <c r="E1066" s="11">
        <v>4863689</v>
      </c>
      <c r="F1066" s="12">
        <f>E1066-C1066</f>
        <v>10731</v>
      </c>
      <c r="M1066" s="10"/>
      <c r="O1066" s="10" t="s">
        <v>164</v>
      </c>
    </row>
    <row r="1067" spans="3:15" s="9" customFormat="1" ht="12.75">
      <c r="C1067" s="198">
        <v>4852966</v>
      </c>
      <c r="E1067" s="11">
        <v>4863697</v>
      </c>
      <c r="F1067" s="200">
        <f>E1067-C1067</f>
        <v>10731</v>
      </c>
      <c r="K1067" s="9">
        <v>649</v>
      </c>
      <c r="L1067" s="198">
        <v>317</v>
      </c>
      <c r="M1067" s="10">
        <v>1976</v>
      </c>
      <c r="N1067" s="198" t="s">
        <v>16</v>
      </c>
      <c r="O1067" s="10">
        <v>2010</v>
      </c>
    </row>
    <row r="1068" spans="3:15" s="9" customFormat="1" ht="12.75">
      <c r="C1068" s="9">
        <v>4852971</v>
      </c>
      <c r="E1068" s="11">
        <v>4863702</v>
      </c>
      <c r="F1068" s="12">
        <f>E1068-C1068</f>
        <v>10731</v>
      </c>
      <c r="K1068" s="9">
        <f>971-322</f>
        <v>649</v>
      </c>
      <c r="L1068" s="9">
        <v>322</v>
      </c>
      <c r="M1068" s="10">
        <v>1976</v>
      </c>
      <c r="N1068" s="9" t="s">
        <v>16</v>
      </c>
      <c r="O1068" s="10">
        <v>2008</v>
      </c>
    </row>
    <row r="1069" spans="3:15" s="9" customFormat="1" ht="12.75">
      <c r="C1069" s="9">
        <v>4852976</v>
      </c>
      <c r="E1069" s="11">
        <v>4863707</v>
      </c>
      <c r="F1069" s="12">
        <f>E1069-C1069</f>
        <v>10731</v>
      </c>
      <c r="M1069" s="10"/>
      <c r="O1069" s="10" t="s">
        <v>164</v>
      </c>
    </row>
    <row r="1070" spans="5:15" s="9" customFormat="1" ht="12.75">
      <c r="E1070" s="11">
        <v>4863709</v>
      </c>
      <c r="F1070" s="12"/>
      <c r="M1070" s="10">
        <v>1976</v>
      </c>
      <c r="O1070" s="10">
        <v>1995</v>
      </c>
    </row>
    <row r="1071" spans="3:15" s="2" customFormat="1" ht="13.5" thickBot="1">
      <c r="C1071" s="186">
        <v>4852979</v>
      </c>
      <c r="D1071" s="150"/>
      <c r="E1071" s="152"/>
      <c r="F1071" s="150"/>
      <c r="G1071" s="150"/>
      <c r="H1071" s="150"/>
      <c r="I1071" s="150"/>
      <c r="J1071" s="150"/>
      <c r="K1071" s="150"/>
      <c r="L1071" s="187" t="s">
        <v>257</v>
      </c>
      <c r="M1071" s="153"/>
      <c r="N1071" s="186" t="s">
        <v>16</v>
      </c>
      <c r="O1071" s="6"/>
    </row>
    <row r="1072" spans="3:15" s="47" customFormat="1" ht="13.5">
      <c r="C1072" s="142">
        <v>4852980</v>
      </c>
      <c r="D1072" s="142"/>
      <c r="E1072" s="159"/>
      <c r="F1072" s="142"/>
      <c r="G1072" s="142"/>
      <c r="H1072" s="142"/>
      <c r="I1072" s="142"/>
      <c r="J1072" s="142"/>
      <c r="K1072" s="142"/>
      <c r="L1072" s="155" t="s">
        <v>258</v>
      </c>
      <c r="M1072" s="141"/>
      <c r="N1072" s="142" t="s">
        <v>96</v>
      </c>
      <c r="O1072" s="49"/>
    </row>
    <row r="1073" spans="3:15" s="9" customFormat="1" ht="12.75">
      <c r="C1073" s="9">
        <v>4852984</v>
      </c>
      <c r="E1073" s="11">
        <v>4863715</v>
      </c>
      <c r="F1073" s="12">
        <f>E1073-C1073</f>
        <v>10731</v>
      </c>
      <c r="K1073" s="9">
        <f>984-828</f>
        <v>156</v>
      </c>
      <c r="L1073" s="9">
        <v>35828</v>
      </c>
      <c r="M1073" s="10">
        <v>1976</v>
      </c>
      <c r="N1073" s="9" t="s">
        <v>96</v>
      </c>
      <c r="O1073" s="10" t="s">
        <v>259</v>
      </c>
    </row>
    <row r="1074" spans="3:15" s="9" customFormat="1" ht="12.75">
      <c r="C1074" s="9">
        <v>4852986</v>
      </c>
      <c r="E1074" s="11">
        <v>4863717</v>
      </c>
      <c r="F1074" s="12">
        <f>E1074-C1074</f>
        <v>10731</v>
      </c>
      <c r="M1074" s="13" t="s">
        <v>260</v>
      </c>
      <c r="O1074" s="10">
        <v>2009</v>
      </c>
    </row>
    <row r="1075" spans="3:15" s="9" customFormat="1" ht="12.75">
      <c r="C1075" s="9">
        <v>4852988</v>
      </c>
      <c r="D1075" s="182">
        <v>4870952</v>
      </c>
      <c r="E1075" s="61"/>
      <c r="F1075" s="12"/>
      <c r="M1075" s="13"/>
      <c r="O1075" s="10" t="s">
        <v>20</v>
      </c>
    </row>
    <row r="1076" spans="3:15" s="9" customFormat="1" ht="12.75">
      <c r="C1076" s="9">
        <v>4852999</v>
      </c>
      <c r="E1076" s="11">
        <v>4863729</v>
      </c>
      <c r="F1076" s="12">
        <f aca="true" t="shared" si="35" ref="F1076:F1110">E1076-C1076</f>
        <v>10730</v>
      </c>
      <c r="M1076" s="10">
        <v>1976</v>
      </c>
      <c r="O1076" s="10">
        <v>2007</v>
      </c>
    </row>
    <row r="1077" spans="3:15" s="9" customFormat="1" ht="12.75">
      <c r="C1077" s="9">
        <v>4853000</v>
      </c>
      <c r="E1077" s="11">
        <v>4863730</v>
      </c>
      <c r="F1077" s="12">
        <f t="shared" si="35"/>
        <v>10730</v>
      </c>
      <c r="M1077" s="10">
        <v>1976</v>
      </c>
      <c r="O1077" s="10">
        <v>2008</v>
      </c>
    </row>
    <row r="1078" spans="3:15" s="9" customFormat="1" ht="12.75">
      <c r="C1078" s="9">
        <v>4853009</v>
      </c>
      <c r="E1078" s="11">
        <v>4863739</v>
      </c>
      <c r="F1078" s="12">
        <f t="shared" si="35"/>
        <v>10730</v>
      </c>
      <c r="M1078" s="10">
        <v>1976</v>
      </c>
      <c r="O1078" s="10">
        <v>2008</v>
      </c>
    </row>
    <row r="1079" spans="3:15" s="9" customFormat="1" ht="12.75">
      <c r="C1079" s="9">
        <v>4853012</v>
      </c>
      <c r="E1079" s="11">
        <v>4863742</v>
      </c>
      <c r="F1079" s="12">
        <f t="shared" si="35"/>
        <v>10730</v>
      </c>
      <c r="K1079" s="9">
        <f>1012-856</f>
        <v>156</v>
      </c>
      <c r="L1079" s="9">
        <v>35856</v>
      </c>
      <c r="M1079" s="10">
        <v>1976</v>
      </c>
      <c r="N1079" s="9" t="s">
        <v>215</v>
      </c>
      <c r="O1079" s="10">
        <v>2006</v>
      </c>
    </row>
    <row r="1080" spans="3:15" s="9" customFormat="1" ht="12.75">
      <c r="C1080" s="9">
        <v>4853015</v>
      </c>
      <c r="E1080" s="11">
        <v>4863745</v>
      </c>
      <c r="F1080" s="12">
        <f t="shared" si="35"/>
        <v>10730</v>
      </c>
      <c r="M1080" s="13" t="s">
        <v>261</v>
      </c>
      <c r="O1080" s="10">
        <v>2008</v>
      </c>
    </row>
    <row r="1081" spans="3:15" s="9" customFormat="1" ht="12.75">
      <c r="C1081" s="9">
        <v>4853018</v>
      </c>
      <c r="E1081" s="11">
        <v>4863748</v>
      </c>
      <c r="F1081" s="12">
        <f t="shared" si="35"/>
        <v>10730</v>
      </c>
      <c r="K1081" s="9">
        <f>1018-862</f>
        <v>156</v>
      </c>
      <c r="L1081" s="9">
        <v>35862</v>
      </c>
      <c r="M1081" s="10">
        <v>1976</v>
      </c>
      <c r="N1081" s="9" t="s">
        <v>96</v>
      </c>
      <c r="O1081" s="10">
        <v>2008</v>
      </c>
    </row>
    <row r="1082" spans="3:15" s="9" customFormat="1" ht="12.75">
      <c r="C1082" s="9">
        <v>4853019</v>
      </c>
      <c r="E1082" s="11">
        <v>4863749</v>
      </c>
      <c r="F1082" s="12">
        <f t="shared" si="35"/>
        <v>10730</v>
      </c>
      <c r="K1082" s="9">
        <v>156</v>
      </c>
      <c r="L1082" s="9">
        <v>35863</v>
      </c>
      <c r="M1082" s="10">
        <v>1976</v>
      </c>
      <c r="N1082" s="9" t="s">
        <v>96</v>
      </c>
      <c r="O1082" s="10">
        <v>2008</v>
      </c>
    </row>
    <row r="1083" spans="3:15" s="9" customFormat="1" ht="12.75">
      <c r="C1083" s="9">
        <v>4853021</v>
      </c>
      <c r="E1083" s="11">
        <v>4863751</v>
      </c>
      <c r="F1083" s="12">
        <f t="shared" si="35"/>
        <v>10730</v>
      </c>
      <c r="M1083" s="10">
        <v>1976</v>
      </c>
      <c r="O1083" s="10">
        <v>2008</v>
      </c>
    </row>
    <row r="1084" spans="3:15" s="9" customFormat="1" ht="12.75">
      <c r="C1084" s="198">
        <v>4853023</v>
      </c>
      <c r="E1084" s="11">
        <v>4863753</v>
      </c>
      <c r="F1084" s="200">
        <f t="shared" si="35"/>
        <v>10730</v>
      </c>
      <c r="M1084" s="13" t="s">
        <v>261</v>
      </c>
      <c r="O1084" s="10">
        <v>2012</v>
      </c>
    </row>
    <row r="1085" spans="3:15" s="9" customFormat="1" ht="12.75">
      <c r="C1085" s="9">
        <v>4853026</v>
      </c>
      <c r="E1085" s="11">
        <v>4863756</v>
      </c>
      <c r="F1085" s="12">
        <f t="shared" si="35"/>
        <v>10730</v>
      </c>
      <c r="K1085" s="9">
        <v>156</v>
      </c>
      <c r="L1085" s="9">
        <v>35870</v>
      </c>
      <c r="M1085" s="13" t="s">
        <v>261</v>
      </c>
      <c r="N1085" s="9" t="s">
        <v>96</v>
      </c>
      <c r="O1085" s="10" t="s">
        <v>29</v>
      </c>
    </row>
    <row r="1086" spans="3:15" s="9" customFormat="1" ht="12.75">
      <c r="C1086" s="9">
        <v>4853027</v>
      </c>
      <c r="E1086" s="11">
        <v>4863757</v>
      </c>
      <c r="F1086" s="12">
        <f t="shared" si="35"/>
        <v>10730</v>
      </c>
      <c r="M1086" s="10">
        <v>1976</v>
      </c>
      <c r="O1086" s="10">
        <v>2008</v>
      </c>
    </row>
    <row r="1087" spans="3:15" s="9" customFormat="1" ht="12.75">
      <c r="C1087" s="9">
        <v>4853029</v>
      </c>
      <c r="E1087" s="11">
        <v>4863759</v>
      </c>
      <c r="F1087" s="12">
        <f t="shared" si="35"/>
        <v>10730</v>
      </c>
      <c r="M1087" s="10"/>
      <c r="O1087" s="10"/>
    </row>
    <row r="1088" spans="3:15" s="9" customFormat="1" ht="12.75">
      <c r="C1088" s="9">
        <v>4853030</v>
      </c>
      <c r="E1088" s="11">
        <v>4863760</v>
      </c>
      <c r="F1088" s="12">
        <f t="shared" si="35"/>
        <v>10730</v>
      </c>
      <c r="K1088" s="9">
        <v>156</v>
      </c>
      <c r="L1088" s="9">
        <v>35874</v>
      </c>
      <c r="M1088" s="10">
        <v>1976</v>
      </c>
      <c r="N1088" s="9" t="s">
        <v>96</v>
      </c>
      <c r="O1088" s="10">
        <v>2008</v>
      </c>
    </row>
    <row r="1089" spans="3:15" s="9" customFormat="1" ht="12.75">
      <c r="C1089" s="198">
        <v>4853037</v>
      </c>
      <c r="E1089" s="11">
        <v>4863767</v>
      </c>
      <c r="F1089" s="200">
        <f t="shared" si="35"/>
        <v>10730</v>
      </c>
      <c r="K1089" s="9">
        <v>156</v>
      </c>
      <c r="L1089" s="9">
        <v>35881</v>
      </c>
      <c r="M1089" s="13" t="s">
        <v>261</v>
      </c>
      <c r="N1089" s="9" t="s">
        <v>96</v>
      </c>
      <c r="O1089" s="10" t="s">
        <v>262</v>
      </c>
    </row>
    <row r="1090" spans="3:15" s="9" customFormat="1" ht="12.75">
      <c r="C1090" s="9">
        <v>4853038</v>
      </c>
      <c r="E1090" s="11">
        <v>4863768</v>
      </c>
      <c r="F1090" s="12">
        <f t="shared" si="35"/>
        <v>10730</v>
      </c>
      <c r="K1090" s="9">
        <v>156</v>
      </c>
      <c r="L1090" s="9">
        <v>35882</v>
      </c>
      <c r="M1090" s="10">
        <v>1976</v>
      </c>
      <c r="N1090" s="9" t="s">
        <v>96</v>
      </c>
      <c r="O1090" s="10" t="s">
        <v>30</v>
      </c>
    </row>
    <row r="1091" spans="3:15" s="9" customFormat="1" ht="12.75">
      <c r="C1091" s="9">
        <v>4853043</v>
      </c>
      <c r="E1091" s="11">
        <v>4863773</v>
      </c>
      <c r="F1091" s="12">
        <f t="shared" si="35"/>
        <v>10730</v>
      </c>
      <c r="K1091" s="9">
        <f>1043-887</f>
        <v>156</v>
      </c>
      <c r="L1091" s="9">
        <v>35887</v>
      </c>
      <c r="M1091" s="10">
        <v>1976</v>
      </c>
      <c r="N1091" s="9" t="s">
        <v>96</v>
      </c>
      <c r="O1091" s="10">
        <v>2008</v>
      </c>
    </row>
    <row r="1092" spans="3:15" s="9" customFormat="1" ht="12.75">
      <c r="C1092" s="9">
        <v>4853045</v>
      </c>
      <c r="E1092" s="11">
        <v>4863775</v>
      </c>
      <c r="F1092" s="12">
        <f t="shared" si="35"/>
        <v>10730</v>
      </c>
      <c r="K1092" s="9">
        <v>156</v>
      </c>
      <c r="L1092" s="9">
        <v>35889</v>
      </c>
      <c r="M1092" s="13" t="s">
        <v>263</v>
      </c>
      <c r="N1092" s="9" t="s">
        <v>96</v>
      </c>
      <c r="O1092" s="10">
        <v>2008</v>
      </c>
    </row>
    <row r="1093" spans="3:15" s="9" customFormat="1" ht="12.75">
      <c r="C1093" s="9">
        <v>4853047</v>
      </c>
      <c r="E1093" s="11">
        <v>4863777</v>
      </c>
      <c r="F1093" s="12">
        <f t="shared" si="35"/>
        <v>10730</v>
      </c>
      <c r="M1093" s="13"/>
      <c r="O1093" s="10" t="s">
        <v>164</v>
      </c>
    </row>
    <row r="1094" spans="3:15" s="9" customFormat="1" ht="12.75">
      <c r="C1094" s="9">
        <v>4853057</v>
      </c>
      <c r="E1094" s="11">
        <v>4863787</v>
      </c>
      <c r="F1094" s="12">
        <f t="shared" si="35"/>
        <v>10730</v>
      </c>
      <c r="K1094" s="198">
        <v>156</v>
      </c>
      <c r="L1094" s="198">
        <v>35901</v>
      </c>
      <c r="M1094" s="10">
        <v>1976</v>
      </c>
      <c r="N1094" s="198" t="s">
        <v>96</v>
      </c>
      <c r="O1094" s="10" t="s">
        <v>264</v>
      </c>
    </row>
    <row r="1095" spans="3:15" s="9" customFormat="1" ht="12.75">
      <c r="C1095" s="198">
        <v>4853061</v>
      </c>
      <c r="E1095" s="11">
        <v>4863791</v>
      </c>
      <c r="F1095" s="200">
        <f t="shared" si="35"/>
        <v>10730</v>
      </c>
      <c r="K1095" s="198"/>
      <c r="L1095" s="198">
        <v>35905</v>
      </c>
      <c r="M1095" s="10">
        <v>1976</v>
      </c>
      <c r="N1095" s="198" t="s">
        <v>96</v>
      </c>
      <c r="O1095" s="10">
        <v>2020</v>
      </c>
    </row>
    <row r="1096" spans="3:15" s="9" customFormat="1" ht="12.75">
      <c r="C1096" s="9">
        <v>4853063</v>
      </c>
      <c r="E1096" s="11">
        <v>4863793</v>
      </c>
      <c r="F1096" s="12">
        <f t="shared" si="35"/>
        <v>10730</v>
      </c>
      <c r="M1096" s="13" t="s">
        <v>265</v>
      </c>
      <c r="O1096" s="10">
        <v>2008</v>
      </c>
    </row>
    <row r="1097" spans="3:15" s="9" customFormat="1" ht="12.75">
      <c r="C1097" s="9">
        <v>4853064</v>
      </c>
      <c r="E1097" s="11">
        <v>4863794</v>
      </c>
      <c r="F1097" s="12">
        <f t="shared" si="35"/>
        <v>10730</v>
      </c>
      <c r="M1097" s="13"/>
      <c r="O1097" s="10" t="s">
        <v>164</v>
      </c>
    </row>
    <row r="1098" spans="3:15" s="9" customFormat="1" ht="12.75">
      <c r="C1098" s="9">
        <v>4853065</v>
      </c>
      <c r="E1098" s="11">
        <v>4863795</v>
      </c>
      <c r="F1098" s="12">
        <f t="shared" si="35"/>
        <v>10730</v>
      </c>
      <c r="M1098" s="10">
        <v>1976</v>
      </c>
      <c r="O1098" s="10">
        <v>2006</v>
      </c>
    </row>
    <row r="1099" spans="3:15" s="9" customFormat="1" ht="12.75">
      <c r="C1099" s="9">
        <v>4853066</v>
      </c>
      <c r="E1099" s="11">
        <v>4863796</v>
      </c>
      <c r="F1099" s="12">
        <f t="shared" si="35"/>
        <v>10730</v>
      </c>
      <c r="K1099" s="9">
        <f>1066-910</f>
        <v>156</v>
      </c>
      <c r="L1099" s="9">
        <v>35910</v>
      </c>
      <c r="M1099" s="13" t="s">
        <v>265</v>
      </c>
      <c r="N1099" s="9" t="s">
        <v>96</v>
      </c>
      <c r="O1099" s="10"/>
    </row>
    <row r="1100" spans="3:15" s="9" customFormat="1" ht="12.75">
      <c r="C1100" s="198">
        <v>4853068</v>
      </c>
      <c r="E1100" s="11">
        <v>4863798</v>
      </c>
      <c r="F1100" s="200">
        <f t="shared" si="35"/>
        <v>10730</v>
      </c>
      <c r="M1100" s="13" t="s">
        <v>265</v>
      </c>
      <c r="O1100" s="10">
        <v>2010</v>
      </c>
    </row>
    <row r="1101" spans="3:15" s="9" customFormat="1" ht="12.75">
      <c r="C1101" s="9">
        <v>4853069</v>
      </c>
      <c r="E1101" s="11">
        <v>4863799</v>
      </c>
      <c r="F1101" s="12">
        <f t="shared" si="35"/>
        <v>10730</v>
      </c>
      <c r="M1101" s="10">
        <v>1976</v>
      </c>
      <c r="O1101" s="10">
        <v>2004</v>
      </c>
    </row>
    <row r="1102" spans="3:15" s="9" customFormat="1" ht="12.75">
      <c r="C1102" s="9">
        <v>4853072</v>
      </c>
      <c r="E1102" s="11">
        <v>4863802</v>
      </c>
      <c r="F1102" s="12">
        <f t="shared" si="35"/>
        <v>10730</v>
      </c>
      <c r="K1102" s="9">
        <f>1072-916</f>
        <v>156</v>
      </c>
      <c r="L1102" s="9">
        <v>35916</v>
      </c>
      <c r="M1102" s="10">
        <v>1976</v>
      </c>
      <c r="N1102" s="9" t="s">
        <v>96</v>
      </c>
      <c r="O1102" s="10" t="s">
        <v>226</v>
      </c>
    </row>
    <row r="1103" spans="3:15" s="9" customFormat="1" ht="12.75">
      <c r="C1103" s="9">
        <v>4853073</v>
      </c>
      <c r="E1103" s="11">
        <v>4863803</v>
      </c>
      <c r="F1103" s="12">
        <f t="shared" si="35"/>
        <v>10730</v>
      </c>
      <c r="K1103" s="9">
        <f>1073-917</f>
        <v>156</v>
      </c>
      <c r="L1103" s="9">
        <v>35917</v>
      </c>
      <c r="M1103" s="10">
        <v>1976</v>
      </c>
      <c r="N1103" s="9" t="s">
        <v>96</v>
      </c>
      <c r="O1103" s="10">
        <v>2006</v>
      </c>
    </row>
    <row r="1104" spans="3:15" s="9" customFormat="1" ht="12.75">
      <c r="C1104" s="9">
        <v>4853076</v>
      </c>
      <c r="E1104" s="11">
        <v>4863806</v>
      </c>
      <c r="F1104" s="12">
        <f t="shared" si="35"/>
        <v>10730</v>
      </c>
      <c r="M1104" s="114" t="s">
        <v>265</v>
      </c>
      <c r="O1104" s="10">
        <v>2008</v>
      </c>
    </row>
    <row r="1105" spans="3:15" s="9" customFormat="1" ht="12.75">
      <c r="C1105" s="198">
        <v>4853080</v>
      </c>
      <c r="E1105" s="11">
        <v>4863810</v>
      </c>
      <c r="F1105" s="200">
        <f t="shared" si="35"/>
        <v>10730</v>
      </c>
      <c r="M1105" s="114" t="s">
        <v>265</v>
      </c>
      <c r="N1105" s="9" t="s">
        <v>24</v>
      </c>
      <c r="O1105" s="10">
        <v>2011</v>
      </c>
    </row>
    <row r="1106" spans="3:15" s="9" customFormat="1" ht="12.75">
      <c r="C1106" s="198">
        <v>4853082</v>
      </c>
      <c r="E1106" s="11">
        <v>4863812</v>
      </c>
      <c r="F1106" s="12">
        <f t="shared" si="35"/>
        <v>10730</v>
      </c>
      <c r="M1106" s="114" t="s">
        <v>265</v>
      </c>
      <c r="O1106" s="10">
        <v>2009</v>
      </c>
    </row>
    <row r="1107" spans="3:15" s="9" customFormat="1" ht="12.75">
      <c r="C1107" s="9">
        <v>4853087</v>
      </c>
      <c r="E1107" s="11">
        <v>4863817</v>
      </c>
      <c r="F1107" s="12">
        <f t="shared" si="35"/>
        <v>10730</v>
      </c>
      <c r="K1107" s="9">
        <f>1087-931</f>
        <v>156</v>
      </c>
      <c r="L1107" s="9">
        <v>35931</v>
      </c>
      <c r="M1107" s="114" t="s">
        <v>265</v>
      </c>
      <c r="N1107" s="9" t="s">
        <v>96</v>
      </c>
      <c r="O1107" s="10">
        <v>2008</v>
      </c>
    </row>
    <row r="1108" spans="3:15" s="9" customFormat="1" ht="12.75">
      <c r="C1108" s="198">
        <v>4853088</v>
      </c>
      <c r="E1108" s="11">
        <v>4863818</v>
      </c>
      <c r="F1108" s="200">
        <f t="shared" si="35"/>
        <v>10730</v>
      </c>
      <c r="K1108" s="9">
        <v>156</v>
      </c>
      <c r="L1108" s="9">
        <v>35932</v>
      </c>
      <c r="M1108" s="114" t="s">
        <v>265</v>
      </c>
      <c r="N1108" s="198" t="s">
        <v>96</v>
      </c>
      <c r="O1108" s="10">
        <v>2020</v>
      </c>
    </row>
    <row r="1109" spans="3:15" s="9" customFormat="1" ht="12.75">
      <c r="C1109" s="9">
        <v>4853094</v>
      </c>
      <c r="E1109" s="11">
        <v>4863824</v>
      </c>
      <c r="F1109" s="12">
        <f t="shared" si="35"/>
        <v>10730</v>
      </c>
      <c r="M1109" s="10"/>
      <c r="O1109" s="10">
        <v>2006</v>
      </c>
    </row>
    <row r="1110" spans="3:15" s="9" customFormat="1" ht="12.75">
      <c r="C1110" s="198">
        <v>4853095</v>
      </c>
      <c r="E1110" s="11">
        <v>4863825</v>
      </c>
      <c r="F1110" s="12">
        <f t="shared" si="35"/>
        <v>10730</v>
      </c>
      <c r="K1110" s="9">
        <v>156</v>
      </c>
      <c r="L1110" s="9">
        <v>35939</v>
      </c>
      <c r="M1110" s="10">
        <v>1977</v>
      </c>
      <c r="N1110" s="9" t="s">
        <v>96</v>
      </c>
      <c r="O1110" s="10">
        <v>2011</v>
      </c>
    </row>
    <row r="1111" spans="3:15" s="44" customFormat="1" ht="14.25" thickBot="1">
      <c r="C1111" s="144">
        <v>4853099</v>
      </c>
      <c r="D1111" s="144"/>
      <c r="E1111" s="160"/>
      <c r="F1111" s="144"/>
      <c r="G1111" s="144"/>
      <c r="H1111" s="144"/>
      <c r="I1111" s="144"/>
      <c r="J1111" s="144"/>
      <c r="K1111" s="144"/>
      <c r="L1111" s="140" t="s">
        <v>266</v>
      </c>
      <c r="M1111" s="154"/>
      <c r="N1111" s="144" t="s">
        <v>96</v>
      </c>
      <c r="O1111" s="45"/>
    </row>
    <row r="1112" spans="3:15" s="9" customFormat="1" ht="12.75">
      <c r="C1112" s="9">
        <v>4853100</v>
      </c>
      <c r="D1112" s="16" t="s">
        <v>267</v>
      </c>
      <c r="E1112" s="53">
        <v>4863830</v>
      </c>
      <c r="F1112" s="12">
        <f>E1112-C1112</f>
        <v>10730</v>
      </c>
      <c r="K1112" s="9">
        <f>1100-331</f>
        <v>769</v>
      </c>
      <c r="L1112" s="9">
        <v>331</v>
      </c>
      <c r="M1112" s="10">
        <v>1976</v>
      </c>
      <c r="N1112" s="9" t="s">
        <v>16</v>
      </c>
      <c r="O1112" s="13" t="s">
        <v>268</v>
      </c>
    </row>
    <row r="1113" spans="3:15" s="9" customFormat="1" ht="12.75">
      <c r="C1113" s="9">
        <v>4853103</v>
      </c>
      <c r="D1113" s="16"/>
      <c r="E1113" s="53">
        <v>4863833</v>
      </c>
      <c r="F1113" s="12">
        <f>E1113-C1113</f>
        <v>10730</v>
      </c>
      <c r="K1113" s="9">
        <v>769</v>
      </c>
      <c r="L1113" s="9">
        <v>334</v>
      </c>
      <c r="M1113" s="10">
        <v>1976</v>
      </c>
      <c r="N1113" s="9" t="s">
        <v>16</v>
      </c>
      <c r="O1113" s="13">
        <v>2009</v>
      </c>
    </row>
    <row r="1114" spans="3:15" s="9" customFormat="1" ht="12.75">
      <c r="C1114" s="9">
        <v>4853106</v>
      </c>
      <c r="E1114" s="9">
        <v>4863836</v>
      </c>
      <c r="F1114" s="12">
        <v>10730</v>
      </c>
      <c r="M1114" s="10">
        <v>1976</v>
      </c>
      <c r="N1114" s="9" t="s">
        <v>16</v>
      </c>
      <c r="O1114" s="10"/>
    </row>
    <row r="1115" spans="3:15" s="9" customFormat="1" ht="12.75">
      <c r="C1115" s="9">
        <v>4853112</v>
      </c>
      <c r="E1115" s="11">
        <v>4863842</v>
      </c>
      <c r="F1115" s="12">
        <f aca="true" t="shared" si="36" ref="F1115:F1128">E1115-C1115</f>
        <v>10730</v>
      </c>
      <c r="K1115" s="9">
        <f>1112-343</f>
        <v>769</v>
      </c>
      <c r="L1115" s="9">
        <v>343</v>
      </c>
      <c r="M1115" s="10">
        <v>1976</v>
      </c>
      <c r="N1115" s="9" t="s">
        <v>16</v>
      </c>
      <c r="O1115" s="10">
        <v>2008</v>
      </c>
    </row>
    <row r="1116" spans="3:15" s="9" customFormat="1" ht="12.75">
      <c r="C1116" s="9">
        <v>4853115</v>
      </c>
      <c r="E1116" s="11">
        <v>4863845</v>
      </c>
      <c r="F1116" s="12">
        <f t="shared" si="36"/>
        <v>10730</v>
      </c>
      <c r="K1116" s="9">
        <v>769</v>
      </c>
      <c r="L1116" s="9">
        <v>346</v>
      </c>
      <c r="M1116" s="10">
        <v>1976</v>
      </c>
      <c r="N1116" s="9" t="s">
        <v>16</v>
      </c>
      <c r="O1116" s="10">
        <v>2008</v>
      </c>
    </row>
    <row r="1117" spans="3:15" s="9" customFormat="1" ht="12.75">
      <c r="C1117" s="9">
        <v>4853117</v>
      </c>
      <c r="E1117" s="11">
        <v>4863847</v>
      </c>
      <c r="F1117" s="12">
        <f t="shared" si="36"/>
        <v>10730</v>
      </c>
      <c r="M1117" s="10">
        <v>1976</v>
      </c>
      <c r="N1117" s="9" t="s">
        <v>16</v>
      </c>
      <c r="O1117" s="10">
        <v>2008</v>
      </c>
    </row>
    <row r="1118" spans="3:15" s="9" customFormat="1" ht="12.75">
      <c r="C1118" s="198">
        <v>4853118</v>
      </c>
      <c r="E1118" s="11">
        <v>4863848</v>
      </c>
      <c r="F1118" s="200">
        <f t="shared" si="36"/>
        <v>10730</v>
      </c>
      <c r="K1118" s="9">
        <v>769</v>
      </c>
      <c r="L1118" s="198">
        <v>349</v>
      </c>
      <c r="M1118" s="10">
        <v>1976</v>
      </c>
      <c r="N1118" s="198" t="s">
        <v>16</v>
      </c>
      <c r="O1118" s="10"/>
    </row>
    <row r="1119" spans="3:15" s="9" customFormat="1" ht="12.75">
      <c r="C1119" s="9">
        <v>4853126</v>
      </c>
      <c r="E1119" s="11">
        <v>4863856</v>
      </c>
      <c r="F1119" s="12">
        <f t="shared" si="36"/>
        <v>10730</v>
      </c>
      <c r="K1119" s="9">
        <v>769</v>
      </c>
      <c r="L1119" s="9">
        <v>357</v>
      </c>
      <c r="M1119" s="10">
        <v>1976</v>
      </c>
      <c r="N1119" s="9" t="s">
        <v>16</v>
      </c>
      <c r="O1119" s="10" t="s">
        <v>86</v>
      </c>
    </row>
    <row r="1120" spans="3:15" s="9" customFormat="1" ht="12.75">
      <c r="C1120" s="9">
        <v>4853129</v>
      </c>
      <c r="E1120" s="11">
        <v>4863859</v>
      </c>
      <c r="F1120" s="12">
        <f t="shared" si="36"/>
        <v>10730</v>
      </c>
      <c r="K1120" s="9">
        <f>1129-360</f>
        <v>769</v>
      </c>
      <c r="L1120" s="9">
        <v>360</v>
      </c>
      <c r="M1120" s="10">
        <v>1977</v>
      </c>
      <c r="N1120" s="9" t="s">
        <v>16</v>
      </c>
      <c r="O1120" s="10">
        <v>2008</v>
      </c>
    </row>
    <row r="1121" spans="3:15" s="9" customFormat="1" ht="12.75">
      <c r="C1121" s="198">
        <v>4853132</v>
      </c>
      <c r="E1121" s="11">
        <v>4863862</v>
      </c>
      <c r="F1121" s="200">
        <f t="shared" si="36"/>
        <v>10730</v>
      </c>
      <c r="K1121" s="198">
        <v>769</v>
      </c>
      <c r="L1121" s="198">
        <v>363</v>
      </c>
      <c r="M1121" s="10">
        <v>1977</v>
      </c>
      <c r="N1121" s="198" t="s">
        <v>16</v>
      </c>
      <c r="O1121" s="10">
        <v>2011</v>
      </c>
    </row>
    <row r="1122" spans="3:15" s="9" customFormat="1" ht="12.75">
      <c r="C1122" s="198">
        <v>4853133</v>
      </c>
      <c r="E1122" s="11">
        <v>4863863</v>
      </c>
      <c r="F1122" s="200">
        <f t="shared" si="36"/>
        <v>10730</v>
      </c>
      <c r="K1122" s="9">
        <v>769</v>
      </c>
      <c r="L1122" s="198">
        <v>364</v>
      </c>
      <c r="M1122" s="10">
        <v>1977</v>
      </c>
      <c r="N1122" s="198" t="s">
        <v>16</v>
      </c>
      <c r="O1122" s="10">
        <v>2010</v>
      </c>
    </row>
    <row r="1123" spans="3:15" s="9" customFormat="1" ht="12.75">
      <c r="C1123" s="198">
        <v>4853134</v>
      </c>
      <c r="E1123" s="11">
        <v>4863864</v>
      </c>
      <c r="F1123" s="200">
        <f t="shared" si="36"/>
        <v>10730</v>
      </c>
      <c r="K1123" s="198">
        <v>769</v>
      </c>
      <c r="L1123" s="198">
        <v>365</v>
      </c>
      <c r="M1123" s="10">
        <v>1977</v>
      </c>
      <c r="N1123" s="198" t="s">
        <v>16</v>
      </c>
      <c r="O1123" s="10">
        <v>2010</v>
      </c>
    </row>
    <row r="1124" spans="3:15" s="9" customFormat="1" ht="12.75">
      <c r="C1124" s="9">
        <v>4853138</v>
      </c>
      <c r="E1124" s="11">
        <v>4863868</v>
      </c>
      <c r="F1124" s="12">
        <f t="shared" si="36"/>
        <v>10730</v>
      </c>
      <c r="K1124" s="9">
        <f>1138-369</f>
        <v>769</v>
      </c>
      <c r="L1124" s="9">
        <v>369</v>
      </c>
      <c r="M1124" s="10">
        <v>1977</v>
      </c>
      <c r="N1124" s="9" t="s">
        <v>16</v>
      </c>
      <c r="O1124" s="10">
        <v>2006</v>
      </c>
    </row>
    <row r="1125" spans="3:15" s="9" customFormat="1" ht="12.75">
      <c r="C1125" s="9">
        <v>4853143</v>
      </c>
      <c r="E1125" s="11">
        <v>4863873</v>
      </c>
      <c r="F1125" s="12">
        <f t="shared" si="36"/>
        <v>10730</v>
      </c>
      <c r="K1125" s="9">
        <v>769</v>
      </c>
      <c r="L1125" s="9">
        <v>374</v>
      </c>
      <c r="M1125" s="10">
        <v>1977</v>
      </c>
      <c r="N1125" s="9" t="s">
        <v>16</v>
      </c>
      <c r="O1125" s="10"/>
    </row>
    <row r="1126" spans="3:15" s="9" customFormat="1" ht="12.75">
      <c r="C1126" s="9">
        <v>4853148</v>
      </c>
      <c r="E1126" s="11">
        <v>4863878</v>
      </c>
      <c r="F1126" s="12">
        <f t="shared" si="36"/>
        <v>10730</v>
      </c>
      <c r="K1126" s="9">
        <f>1148-379</f>
        <v>769</v>
      </c>
      <c r="L1126" s="9">
        <v>379</v>
      </c>
      <c r="M1126" s="10">
        <v>1977</v>
      </c>
      <c r="N1126" s="9" t="s">
        <v>16</v>
      </c>
      <c r="O1126" s="10" t="s">
        <v>269</v>
      </c>
    </row>
    <row r="1127" spans="1:15" s="9" customFormat="1" ht="12.75">
      <c r="A1127" s="9">
        <v>3149</v>
      </c>
      <c r="C1127" s="9">
        <v>4853149</v>
      </c>
      <c r="E1127" s="11">
        <v>4863879</v>
      </c>
      <c r="F1127" s="12">
        <f t="shared" si="36"/>
        <v>10730</v>
      </c>
      <c r="K1127" s="9">
        <v>769</v>
      </c>
      <c r="L1127" s="9">
        <v>380</v>
      </c>
      <c r="M1127" s="10">
        <v>1977</v>
      </c>
      <c r="N1127" s="9" t="s">
        <v>16</v>
      </c>
      <c r="O1127" s="10">
        <v>2007</v>
      </c>
    </row>
    <row r="1128" spans="3:15" s="9" customFormat="1" ht="12.75">
      <c r="C1128" s="9">
        <v>4853153</v>
      </c>
      <c r="E1128" s="11">
        <v>4863883</v>
      </c>
      <c r="F1128" s="12">
        <f t="shared" si="36"/>
        <v>10730</v>
      </c>
      <c r="K1128" s="9">
        <v>769</v>
      </c>
      <c r="L1128" s="9">
        <v>384</v>
      </c>
      <c r="M1128" s="10">
        <v>1977</v>
      </c>
      <c r="N1128" s="9" t="s">
        <v>16</v>
      </c>
      <c r="O1128" s="10">
        <v>2008</v>
      </c>
    </row>
    <row r="1129" spans="3:15" s="9" customFormat="1" ht="12.75">
      <c r="C1129" s="10" t="s">
        <v>270</v>
      </c>
      <c r="E1129" s="11">
        <v>4863885</v>
      </c>
      <c r="F1129" s="12">
        <v>10730</v>
      </c>
      <c r="K1129" s="9">
        <v>769</v>
      </c>
      <c r="L1129" s="9">
        <v>386</v>
      </c>
      <c r="M1129" s="10">
        <v>1977</v>
      </c>
      <c r="N1129" s="9" t="s">
        <v>16</v>
      </c>
      <c r="O1129" s="10">
        <v>2006</v>
      </c>
    </row>
    <row r="1130" spans="3:15" s="9" customFormat="1" ht="12.75">
      <c r="C1130" s="10">
        <v>4853166</v>
      </c>
      <c r="E1130" s="11">
        <v>4863896</v>
      </c>
      <c r="F1130" s="12">
        <v>10730</v>
      </c>
      <c r="K1130" s="9">
        <f>1166-397</f>
        <v>769</v>
      </c>
      <c r="L1130" s="9">
        <v>397</v>
      </c>
      <c r="M1130" s="10">
        <v>1977</v>
      </c>
      <c r="N1130" s="9" t="s">
        <v>16</v>
      </c>
      <c r="O1130" s="10">
        <v>2006</v>
      </c>
    </row>
    <row r="1131" spans="3:15" s="9" customFormat="1" ht="12.75">
      <c r="C1131" s="10">
        <v>4853167</v>
      </c>
      <c r="E1131" s="11">
        <v>4863897</v>
      </c>
      <c r="F1131" s="12">
        <f>E1131-C1131</f>
        <v>10730</v>
      </c>
      <c r="K1131" s="198">
        <v>769</v>
      </c>
      <c r="L1131" s="198">
        <v>398</v>
      </c>
      <c r="M1131" s="10">
        <v>1977</v>
      </c>
      <c r="N1131" s="198" t="s">
        <v>16</v>
      </c>
      <c r="O1131" s="10" t="s">
        <v>271</v>
      </c>
    </row>
    <row r="1132" spans="3:15" s="9" customFormat="1" ht="12.75">
      <c r="C1132" s="10">
        <v>4853169</v>
      </c>
      <c r="E1132" s="11">
        <v>4863899</v>
      </c>
      <c r="F1132" s="12">
        <f>E1132-C1132</f>
        <v>10730</v>
      </c>
      <c r="K1132" s="9">
        <v>769</v>
      </c>
      <c r="L1132" s="9">
        <v>400</v>
      </c>
      <c r="M1132" s="10">
        <v>1977</v>
      </c>
      <c r="N1132" s="9" t="s">
        <v>16</v>
      </c>
      <c r="O1132" s="10">
        <v>2008</v>
      </c>
    </row>
    <row r="1133" spans="3:15" s="9" customFormat="1" ht="12.75">
      <c r="C1133" s="10">
        <v>4853176</v>
      </c>
      <c r="E1133" s="11">
        <v>4863906</v>
      </c>
      <c r="F1133" s="12">
        <f>E1133-C1133</f>
        <v>10730</v>
      </c>
      <c r="K1133" s="9">
        <f>1176-407</f>
        <v>769</v>
      </c>
      <c r="L1133" s="9">
        <v>407</v>
      </c>
      <c r="M1133" s="10">
        <v>1977</v>
      </c>
      <c r="N1133" s="9" t="s">
        <v>16</v>
      </c>
      <c r="O1133" s="10">
        <v>2008</v>
      </c>
    </row>
    <row r="1134" spans="1:15" s="2" customFormat="1" ht="13.5" thickBot="1">
      <c r="A1134" s="2">
        <v>3179</v>
      </c>
      <c r="B1134" s="2" t="s">
        <v>272</v>
      </c>
      <c r="C1134" s="6">
        <v>4853179</v>
      </c>
      <c r="E1134" s="5" t="s">
        <v>273</v>
      </c>
      <c r="F1134" s="4"/>
      <c r="L1134" s="6" t="s">
        <v>274</v>
      </c>
      <c r="M1134" s="6"/>
      <c r="O1134" s="6"/>
    </row>
    <row r="1135" spans="3:15" s="9" customFormat="1" ht="12.75">
      <c r="C1135" s="10"/>
      <c r="E1135" s="13"/>
      <c r="F1135" s="12"/>
      <c r="L1135" s="10"/>
      <c r="M1135" s="10"/>
      <c r="O1135" s="10"/>
    </row>
    <row r="1136" spans="2:15" s="2" customFormat="1" ht="13.5" thickBot="1">
      <c r="B1136" s="14">
        <v>709</v>
      </c>
      <c r="C1136" s="2">
        <v>4854999</v>
      </c>
      <c r="E1136" s="6">
        <v>4860900</v>
      </c>
      <c r="F1136" s="4"/>
      <c r="H1136" s="18">
        <v>4865900</v>
      </c>
      <c r="I1136" s="18"/>
      <c r="L1136" s="5" t="s">
        <v>275</v>
      </c>
      <c r="M1136" s="6">
        <v>1976</v>
      </c>
      <c r="N1136" s="2" t="s">
        <v>16</v>
      </c>
      <c r="O1136" s="6" t="s">
        <v>51</v>
      </c>
    </row>
    <row r="1137" spans="2:15" s="9" customFormat="1" ht="12.75">
      <c r="B1137" s="16"/>
      <c r="C1137" s="13" t="s">
        <v>276</v>
      </c>
      <c r="E1137" s="13" t="s">
        <v>277</v>
      </c>
      <c r="F1137" s="12"/>
      <c r="J1137" s="10" t="s">
        <v>24</v>
      </c>
      <c r="K1137" s="9">
        <f>1099-378</f>
        <v>721</v>
      </c>
      <c r="L1137" s="9">
        <v>37378</v>
      </c>
      <c r="M1137" s="10">
        <v>1978</v>
      </c>
      <c r="N1137" s="9" t="s">
        <v>96</v>
      </c>
      <c r="O1137" s="10"/>
    </row>
    <row r="1138" spans="2:15" s="9" customFormat="1" ht="12.75">
      <c r="B1138" s="16"/>
      <c r="C1138" s="9">
        <v>4854106</v>
      </c>
      <c r="E1138" s="9">
        <v>4860007</v>
      </c>
      <c r="F1138" s="9">
        <f>H1138-C1138</f>
        <v>10901</v>
      </c>
      <c r="H1138" s="11">
        <v>4865007</v>
      </c>
      <c r="I1138" s="11"/>
      <c r="J1138" s="11"/>
      <c r="M1138" s="10">
        <v>1978</v>
      </c>
      <c r="O1138" s="10">
        <v>1996</v>
      </c>
    </row>
    <row r="1139" spans="2:15" s="9" customFormat="1" ht="12.75">
      <c r="B1139" s="16"/>
      <c r="C1139" s="9">
        <v>4854115</v>
      </c>
      <c r="F1139" s="9">
        <v>10901</v>
      </c>
      <c r="H1139" s="11">
        <v>4865046</v>
      </c>
      <c r="I1139" s="11"/>
      <c r="J1139" s="11"/>
      <c r="K1139" s="9">
        <v>721</v>
      </c>
      <c r="L1139" s="9">
        <v>37394</v>
      </c>
      <c r="M1139" s="13" t="s">
        <v>278</v>
      </c>
      <c r="N1139" s="9" t="s">
        <v>96</v>
      </c>
      <c r="O1139" s="10">
        <v>2010</v>
      </c>
    </row>
    <row r="1140" spans="2:15" s="9" customFormat="1" ht="12.75">
      <c r="B1140" s="16"/>
      <c r="C1140" s="9">
        <v>4854117</v>
      </c>
      <c r="F1140" s="9">
        <f aca="true" t="shared" si="37" ref="F1140:F1171">H1140-C1140</f>
        <v>10901</v>
      </c>
      <c r="H1140" s="11">
        <v>4865018</v>
      </c>
      <c r="I1140" s="11"/>
      <c r="J1140" s="11"/>
      <c r="K1140" s="9">
        <v>721</v>
      </c>
      <c r="L1140" s="9">
        <v>37396</v>
      </c>
      <c r="M1140" s="13" t="s">
        <v>278</v>
      </c>
      <c r="N1140" s="9" t="s">
        <v>96</v>
      </c>
      <c r="O1140" s="10">
        <v>2008</v>
      </c>
    </row>
    <row r="1141" spans="2:15" s="9" customFormat="1" ht="12.75">
      <c r="B1141" s="16"/>
      <c r="C1141" s="9">
        <v>4854119</v>
      </c>
      <c r="F1141" s="9">
        <f t="shared" si="37"/>
        <v>10901</v>
      </c>
      <c r="H1141" s="11">
        <v>4865020</v>
      </c>
      <c r="I1141" s="11"/>
      <c r="J1141" s="11"/>
      <c r="K1141" s="9">
        <f>1119-398</f>
        <v>721</v>
      </c>
      <c r="L1141" s="9">
        <v>37398</v>
      </c>
      <c r="M1141" s="13" t="s">
        <v>278</v>
      </c>
      <c r="N1141" s="9" t="s">
        <v>171</v>
      </c>
      <c r="O1141" s="10">
        <v>2008</v>
      </c>
    </row>
    <row r="1142" spans="2:15" s="9" customFormat="1" ht="12.75">
      <c r="B1142" s="16"/>
      <c r="C1142" s="9">
        <v>4854121</v>
      </c>
      <c r="F1142" s="9">
        <f t="shared" si="37"/>
        <v>10901</v>
      </c>
      <c r="H1142" s="11">
        <v>4865022</v>
      </c>
      <c r="I1142" s="11"/>
      <c r="J1142" s="11"/>
      <c r="M1142" s="13"/>
      <c r="O1142" s="10" t="s">
        <v>164</v>
      </c>
    </row>
    <row r="1143" spans="2:15" s="9" customFormat="1" ht="12.75">
      <c r="B1143" s="16"/>
      <c r="C1143" s="9">
        <v>4854130</v>
      </c>
      <c r="F1143" s="9">
        <f t="shared" si="37"/>
        <v>10901</v>
      </c>
      <c r="H1143" s="11">
        <v>4865031</v>
      </c>
      <c r="I1143" s="11"/>
      <c r="J1143" s="11"/>
      <c r="M1143" s="13" t="s">
        <v>278</v>
      </c>
      <c r="N1143" s="9" t="s">
        <v>171</v>
      </c>
      <c r="O1143" s="10">
        <v>2008</v>
      </c>
    </row>
    <row r="1144" spans="2:15" s="9" customFormat="1" ht="12.75">
      <c r="B1144" s="16"/>
      <c r="C1144" s="9">
        <v>4854133</v>
      </c>
      <c r="F1144" s="9">
        <f t="shared" si="37"/>
        <v>10901</v>
      </c>
      <c r="H1144" s="11">
        <v>4865034</v>
      </c>
      <c r="I1144" s="11"/>
      <c r="J1144" s="11"/>
      <c r="M1144" s="13"/>
      <c r="O1144" s="10" t="s">
        <v>164</v>
      </c>
    </row>
    <row r="1145" spans="2:15" s="9" customFormat="1" ht="12.75">
      <c r="B1145" s="16"/>
      <c r="C1145" s="9">
        <v>4854136</v>
      </c>
      <c r="F1145" s="9">
        <f t="shared" si="37"/>
        <v>10901</v>
      </c>
      <c r="H1145" s="11">
        <v>4865037</v>
      </c>
      <c r="I1145" s="11"/>
      <c r="J1145" s="11"/>
      <c r="K1145" s="9">
        <f>1136-415</f>
        <v>721</v>
      </c>
      <c r="L1145" s="9">
        <v>37415</v>
      </c>
      <c r="M1145" s="13">
        <v>1978</v>
      </c>
      <c r="N1145" s="9" t="s">
        <v>96</v>
      </c>
      <c r="O1145" s="10">
        <v>2008</v>
      </c>
    </row>
    <row r="1146" spans="2:15" s="9" customFormat="1" ht="12.75">
      <c r="B1146" s="16"/>
      <c r="C1146" s="198">
        <v>4854139</v>
      </c>
      <c r="F1146" s="198">
        <f t="shared" si="37"/>
        <v>10901</v>
      </c>
      <c r="H1146" s="11">
        <v>4865040</v>
      </c>
      <c r="I1146" s="11"/>
      <c r="J1146" s="11"/>
      <c r="M1146" s="13"/>
      <c r="O1146" s="10">
        <v>2012</v>
      </c>
    </row>
    <row r="1147" spans="2:15" s="9" customFormat="1" ht="12.75">
      <c r="B1147" s="16"/>
      <c r="C1147" s="9">
        <v>4854141</v>
      </c>
      <c r="F1147" s="9">
        <f t="shared" si="37"/>
        <v>10901</v>
      </c>
      <c r="H1147" s="11">
        <v>4865042</v>
      </c>
      <c r="I1147" s="11"/>
      <c r="J1147" s="11"/>
      <c r="M1147" s="10">
        <v>1978</v>
      </c>
      <c r="O1147" s="10">
        <v>2003</v>
      </c>
    </row>
    <row r="1148" spans="2:15" s="9" customFormat="1" ht="12.75">
      <c r="B1148" s="16"/>
      <c r="C1148" s="9">
        <v>4854142</v>
      </c>
      <c r="F1148" s="9">
        <f t="shared" si="37"/>
        <v>10901</v>
      </c>
      <c r="H1148" s="11">
        <v>4865043</v>
      </c>
      <c r="I1148" s="11"/>
      <c r="J1148" s="11"/>
      <c r="M1148" s="13" t="s">
        <v>279</v>
      </c>
      <c r="N1148" s="9" t="s">
        <v>96</v>
      </c>
      <c r="O1148" s="10">
        <v>2009</v>
      </c>
    </row>
    <row r="1149" spans="2:15" s="9" customFormat="1" ht="12.75">
      <c r="B1149" s="16"/>
      <c r="C1149" s="198">
        <v>4854155</v>
      </c>
      <c r="F1149" s="198">
        <f t="shared" si="37"/>
        <v>10901</v>
      </c>
      <c r="H1149" s="11">
        <v>4865056</v>
      </c>
      <c r="I1149" s="11"/>
      <c r="J1149" s="11"/>
      <c r="M1149" s="13" t="s">
        <v>280</v>
      </c>
      <c r="N1149" s="9" t="s">
        <v>171</v>
      </c>
      <c r="O1149" s="10">
        <v>2014</v>
      </c>
    </row>
    <row r="1150" spans="2:15" s="9" customFormat="1" ht="12.75">
      <c r="B1150" s="16"/>
      <c r="C1150" s="9">
        <v>4854158</v>
      </c>
      <c r="F1150" s="9">
        <f t="shared" si="37"/>
        <v>10901</v>
      </c>
      <c r="H1150" s="11">
        <v>4865059</v>
      </c>
      <c r="I1150" s="11"/>
      <c r="J1150" s="11"/>
      <c r="M1150" s="10"/>
      <c r="O1150" s="10" t="s">
        <v>164</v>
      </c>
    </row>
    <row r="1151" spans="2:15" s="9" customFormat="1" ht="12.75">
      <c r="B1151" s="16" t="s">
        <v>281</v>
      </c>
      <c r="C1151" s="9">
        <v>4854170</v>
      </c>
      <c r="F1151" s="9">
        <f t="shared" si="37"/>
        <v>10901</v>
      </c>
      <c r="G1151" s="9" t="s">
        <v>282</v>
      </c>
      <c r="H1151" s="11">
        <v>4865071</v>
      </c>
      <c r="I1151" s="11"/>
      <c r="J1151" s="11"/>
      <c r="M1151" s="13" t="s">
        <v>283</v>
      </c>
      <c r="N1151" s="9" t="s">
        <v>171</v>
      </c>
      <c r="O1151" s="10">
        <v>2008</v>
      </c>
    </row>
    <row r="1152" spans="2:15" s="9" customFormat="1" ht="12.75">
      <c r="B1152" s="16"/>
      <c r="C1152" s="9">
        <v>4854179</v>
      </c>
      <c r="F1152" s="9">
        <f t="shared" si="37"/>
        <v>10901</v>
      </c>
      <c r="H1152" s="11">
        <v>4865080</v>
      </c>
      <c r="I1152" s="11"/>
      <c r="J1152" s="11"/>
      <c r="M1152" s="13" t="s">
        <v>283</v>
      </c>
      <c r="N1152" s="9" t="s">
        <v>171</v>
      </c>
      <c r="O1152" s="10">
        <v>2009</v>
      </c>
    </row>
    <row r="1153" spans="2:15" s="9" customFormat="1" ht="12.75">
      <c r="B1153" s="16"/>
      <c r="C1153" s="9">
        <v>4854182</v>
      </c>
      <c r="F1153" s="9">
        <f t="shared" si="37"/>
        <v>10901</v>
      </c>
      <c r="H1153" s="11">
        <v>4865083</v>
      </c>
      <c r="I1153" s="11"/>
      <c r="J1153" s="11"/>
      <c r="K1153" s="9">
        <f>1182-461</f>
        <v>721</v>
      </c>
      <c r="L1153" s="9">
        <v>37461</v>
      </c>
      <c r="M1153" s="13">
        <v>1978</v>
      </c>
      <c r="N1153" s="9" t="s">
        <v>284</v>
      </c>
      <c r="O1153" s="10">
        <v>2008</v>
      </c>
    </row>
    <row r="1154" spans="2:15" s="9" customFormat="1" ht="12.75">
      <c r="B1154" s="16"/>
      <c r="C1154" s="9">
        <v>4854189</v>
      </c>
      <c r="F1154" s="9">
        <f t="shared" si="37"/>
        <v>10901</v>
      </c>
      <c r="H1154" s="11">
        <v>4865090</v>
      </c>
      <c r="I1154" s="11"/>
      <c r="J1154" s="11"/>
      <c r="M1154" s="13" t="s">
        <v>283</v>
      </c>
      <c r="N1154" s="9" t="s">
        <v>171</v>
      </c>
      <c r="O1154" s="10">
        <v>2008</v>
      </c>
    </row>
    <row r="1155" spans="2:15" s="9" customFormat="1" ht="12.75">
      <c r="B1155" s="16" t="s">
        <v>281</v>
      </c>
      <c r="C1155" s="9">
        <v>4854190</v>
      </c>
      <c r="F1155" s="9">
        <f t="shared" si="37"/>
        <v>10901</v>
      </c>
      <c r="H1155" s="11">
        <v>4865091</v>
      </c>
      <c r="I1155" s="11"/>
      <c r="J1155" s="11"/>
      <c r="M1155" s="10">
        <v>1978</v>
      </c>
      <c r="O1155" s="10">
        <v>2007</v>
      </c>
    </row>
    <row r="1156" spans="2:15" s="9" customFormat="1" ht="12.75">
      <c r="B1156" s="16"/>
      <c r="C1156" s="9">
        <v>4854191</v>
      </c>
      <c r="F1156" s="9">
        <f t="shared" si="37"/>
        <v>10901</v>
      </c>
      <c r="H1156" s="11">
        <v>4865092</v>
      </c>
      <c r="I1156" s="11"/>
      <c r="J1156" s="11"/>
      <c r="M1156" s="10"/>
      <c r="O1156" s="10">
        <v>2006</v>
      </c>
    </row>
    <row r="1157" spans="2:15" s="9" customFormat="1" ht="12.75">
      <c r="B1157" s="16"/>
      <c r="C1157" s="198">
        <v>4854196</v>
      </c>
      <c r="F1157" s="198">
        <f t="shared" si="37"/>
        <v>10901</v>
      </c>
      <c r="H1157" s="11">
        <v>4865097</v>
      </c>
      <c r="I1157" s="11"/>
      <c r="J1157" s="11"/>
      <c r="L1157" s="268">
        <v>37475</v>
      </c>
      <c r="M1157" s="13" t="s">
        <v>283</v>
      </c>
      <c r="N1157" s="198" t="s">
        <v>96</v>
      </c>
      <c r="O1157" s="10">
        <v>2020</v>
      </c>
    </row>
    <row r="1158" spans="2:15" s="9" customFormat="1" ht="12.75">
      <c r="B1158" s="16"/>
      <c r="C1158" s="9">
        <v>4854202</v>
      </c>
      <c r="F1158" s="9">
        <f t="shared" si="37"/>
        <v>10901</v>
      </c>
      <c r="H1158" s="11">
        <v>4865103</v>
      </c>
      <c r="I1158" s="11"/>
      <c r="J1158" s="11"/>
      <c r="K1158" s="9">
        <f>1202-481</f>
        <v>721</v>
      </c>
      <c r="L1158" s="9">
        <v>37481</v>
      </c>
      <c r="M1158" s="10">
        <v>1978</v>
      </c>
      <c r="N1158" s="9" t="s">
        <v>171</v>
      </c>
      <c r="O1158" s="10" t="s">
        <v>29</v>
      </c>
    </row>
    <row r="1159" spans="3:15" s="9" customFormat="1" ht="12.75">
      <c r="C1159" s="9">
        <v>4854207</v>
      </c>
      <c r="F1159" s="9">
        <f t="shared" si="37"/>
        <v>10901</v>
      </c>
      <c r="H1159" s="11">
        <v>4865108</v>
      </c>
      <c r="I1159" s="11"/>
      <c r="J1159" s="11"/>
      <c r="M1159" s="13" t="s">
        <v>285</v>
      </c>
      <c r="N1159" s="198" t="s">
        <v>171</v>
      </c>
      <c r="O1159" s="10" t="s">
        <v>286</v>
      </c>
    </row>
    <row r="1160" spans="3:15" s="9" customFormat="1" ht="12.75">
      <c r="C1160" s="9">
        <v>4854213</v>
      </c>
      <c r="F1160" s="9">
        <f t="shared" si="37"/>
        <v>10901</v>
      </c>
      <c r="H1160" s="11">
        <v>4865114</v>
      </c>
      <c r="I1160" s="11"/>
      <c r="J1160" s="11"/>
      <c r="M1160" s="10">
        <v>1978</v>
      </c>
      <c r="O1160" s="10">
        <v>2007</v>
      </c>
    </row>
    <row r="1161" spans="3:15" s="9" customFormat="1" ht="12.75">
      <c r="C1161" s="198">
        <v>4854230</v>
      </c>
      <c r="F1161" s="198">
        <f t="shared" si="37"/>
        <v>10901</v>
      </c>
      <c r="H1161" s="11">
        <v>4865131</v>
      </c>
      <c r="I1161" s="11"/>
      <c r="J1161" s="11"/>
      <c r="L1161" s="9">
        <v>37509</v>
      </c>
      <c r="M1161" s="13" t="s">
        <v>285</v>
      </c>
      <c r="N1161" s="9" t="s">
        <v>96</v>
      </c>
      <c r="O1161" s="10">
        <v>2010</v>
      </c>
    </row>
    <row r="1162" spans="3:15" s="9" customFormat="1" ht="12.75">
      <c r="C1162" s="9">
        <v>4854236</v>
      </c>
      <c r="E1162" s="9">
        <v>4860137</v>
      </c>
      <c r="F1162" s="9">
        <f t="shared" si="37"/>
        <v>10901</v>
      </c>
      <c r="H1162" s="11">
        <v>4865137</v>
      </c>
      <c r="I1162" s="11"/>
      <c r="J1162" s="11"/>
      <c r="M1162" s="10">
        <v>1978</v>
      </c>
      <c r="N1162" s="9" t="s">
        <v>96</v>
      </c>
      <c r="O1162" s="10">
        <v>2006</v>
      </c>
    </row>
    <row r="1163" spans="3:15" s="9" customFormat="1" ht="12.75">
      <c r="C1163" s="198">
        <v>4854238</v>
      </c>
      <c r="F1163" s="198">
        <f t="shared" si="37"/>
        <v>10901</v>
      </c>
      <c r="H1163" s="11">
        <v>4865139</v>
      </c>
      <c r="I1163" s="11"/>
      <c r="J1163" s="11"/>
      <c r="L1163" s="9">
        <v>37517</v>
      </c>
      <c r="M1163" s="13" t="s">
        <v>285</v>
      </c>
      <c r="N1163" s="198" t="s">
        <v>96</v>
      </c>
      <c r="O1163" s="10">
        <v>2020</v>
      </c>
    </row>
    <row r="1164" spans="3:15" s="9" customFormat="1" ht="12.75">
      <c r="C1164" s="9">
        <v>4854239</v>
      </c>
      <c r="F1164" s="9">
        <f t="shared" si="37"/>
        <v>10901</v>
      </c>
      <c r="H1164" s="11">
        <v>4865140</v>
      </c>
      <c r="I1164" s="11"/>
      <c r="J1164" s="11"/>
      <c r="K1164" s="9">
        <f>1239-518</f>
        <v>721</v>
      </c>
      <c r="L1164" s="9">
        <v>37518</v>
      </c>
      <c r="M1164" s="13" t="s">
        <v>285</v>
      </c>
      <c r="N1164" s="9" t="s">
        <v>96</v>
      </c>
      <c r="O1164" s="10">
        <v>2008</v>
      </c>
    </row>
    <row r="1165" spans="3:15" s="9" customFormat="1" ht="12.75">
      <c r="C1165" s="198">
        <v>4854251</v>
      </c>
      <c r="F1165" s="198">
        <f t="shared" si="37"/>
        <v>10901</v>
      </c>
      <c r="H1165" s="11">
        <v>4865152</v>
      </c>
      <c r="I1165" s="11"/>
      <c r="J1165" s="11"/>
      <c r="K1165" s="9">
        <v>721</v>
      </c>
      <c r="L1165" s="9">
        <v>37530</v>
      </c>
      <c r="M1165" s="13">
        <v>1978</v>
      </c>
      <c r="N1165" s="198" t="s">
        <v>96</v>
      </c>
      <c r="O1165" s="10">
        <v>2010</v>
      </c>
    </row>
    <row r="1166" spans="3:15" s="9" customFormat="1" ht="12.75">
      <c r="C1166" s="198">
        <v>4854271</v>
      </c>
      <c r="F1166" s="198">
        <f t="shared" si="37"/>
        <v>10901</v>
      </c>
      <c r="H1166" s="11">
        <v>4865172</v>
      </c>
      <c r="I1166" s="11"/>
      <c r="J1166" s="11"/>
      <c r="M1166" s="13" t="s">
        <v>287</v>
      </c>
      <c r="N1166" s="198" t="s">
        <v>171</v>
      </c>
      <c r="O1166" s="10">
        <v>2012</v>
      </c>
    </row>
    <row r="1167" spans="3:15" s="9" customFormat="1" ht="12.75">
      <c r="C1167" s="198">
        <v>4854272</v>
      </c>
      <c r="F1167" s="198">
        <f t="shared" si="37"/>
        <v>10901</v>
      </c>
      <c r="H1167" s="11">
        <v>4865173</v>
      </c>
      <c r="I1167" s="11"/>
      <c r="J1167" s="11"/>
      <c r="M1167" s="13" t="s">
        <v>287</v>
      </c>
      <c r="N1167" s="198" t="s">
        <v>171</v>
      </c>
      <c r="O1167" s="10">
        <v>2012</v>
      </c>
    </row>
    <row r="1168" spans="3:15" s="9" customFormat="1" ht="12.75">
      <c r="C1168" s="9">
        <v>4854279</v>
      </c>
      <c r="E1168" s="9">
        <v>4860180</v>
      </c>
      <c r="F1168" s="9">
        <f t="shared" si="37"/>
        <v>10901</v>
      </c>
      <c r="H1168" s="11">
        <v>4865180</v>
      </c>
      <c r="I1168" s="11"/>
      <c r="J1168" s="11"/>
      <c r="M1168" s="10">
        <v>1978</v>
      </c>
      <c r="O1168" s="10">
        <v>2004</v>
      </c>
    </row>
    <row r="1169" spans="3:15" s="9" customFormat="1" ht="12.75">
      <c r="C1169" s="198">
        <v>4854283</v>
      </c>
      <c r="F1169" s="198">
        <f t="shared" si="37"/>
        <v>10901</v>
      </c>
      <c r="H1169" s="11">
        <v>4865184</v>
      </c>
      <c r="I1169" s="11"/>
      <c r="J1169" s="11"/>
      <c r="M1169" s="13" t="s">
        <v>288</v>
      </c>
      <c r="N1169" s="9" t="s">
        <v>96</v>
      </c>
      <c r="O1169" s="10">
        <v>2010</v>
      </c>
    </row>
    <row r="1170" spans="2:15" s="9" customFormat="1" ht="12.75">
      <c r="B1170" s="48">
        <v>709</v>
      </c>
      <c r="C1170" s="9">
        <v>4854292</v>
      </c>
      <c r="F1170" s="9">
        <f t="shared" si="37"/>
        <v>10901</v>
      </c>
      <c r="H1170" s="11">
        <v>4865193</v>
      </c>
      <c r="I1170" s="11"/>
      <c r="J1170" s="11"/>
      <c r="K1170" s="9">
        <f>1292-571</f>
        <v>721</v>
      </c>
      <c r="L1170" s="9">
        <v>37571</v>
      </c>
      <c r="M1170" s="10">
        <v>1978</v>
      </c>
      <c r="N1170" s="9" t="s">
        <v>96</v>
      </c>
      <c r="O1170" s="10" t="s">
        <v>29</v>
      </c>
    </row>
    <row r="1171" spans="2:15" s="9" customFormat="1" ht="12.75">
      <c r="B1171" s="48"/>
      <c r="C1171" s="198">
        <v>4854293</v>
      </c>
      <c r="F1171" s="198">
        <f t="shared" si="37"/>
        <v>10901</v>
      </c>
      <c r="H1171" s="11">
        <v>4865194</v>
      </c>
      <c r="I1171" s="11"/>
      <c r="J1171" s="11"/>
      <c r="K1171" s="9">
        <v>721</v>
      </c>
      <c r="L1171" s="9">
        <v>37572</v>
      </c>
      <c r="M1171" s="10">
        <v>1978</v>
      </c>
      <c r="N1171" s="198" t="s">
        <v>96</v>
      </c>
      <c r="O1171" s="10">
        <v>2009</v>
      </c>
    </row>
    <row r="1172" spans="2:15" s="9" customFormat="1" ht="12.75">
      <c r="B1172" s="48"/>
      <c r="C1172" s="9">
        <v>4854294</v>
      </c>
      <c r="F1172" s="9">
        <v>10901</v>
      </c>
      <c r="H1172" s="11">
        <v>4865195</v>
      </c>
      <c r="I1172" s="11"/>
      <c r="J1172" s="11"/>
      <c r="K1172" s="9">
        <v>721</v>
      </c>
      <c r="L1172" s="9">
        <v>37573</v>
      </c>
      <c r="M1172" s="13" t="s">
        <v>288</v>
      </c>
      <c r="N1172" s="9" t="s">
        <v>289</v>
      </c>
      <c r="O1172" s="10">
        <v>2008</v>
      </c>
    </row>
    <row r="1173" spans="2:15" s="9" customFormat="1" ht="12.75">
      <c r="B1173" s="48"/>
      <c r="C1173" s="198">
        <v>4854297</v>
      </c>
      <c r="F1173" s="198">
        <f>H1173-C1173</f>
        <v>10901</v>
      </c>
      <c r="H1173" s="11">
        <v>4865198</v>
      </c>
      <c r="I1173" s="11"/>
      <c r="J1173" s="11"/>
      <c r="K1173" s="9">
        <v>721</v>
      </c>
      <c r="L1173" s="198">
        <v>37576</v>
      </c>
      <c r="M1173" s="13" t="s">
        <v>288</v>
      </c>
      <c r="N1173" s="198" t="s">
        <v>96</v>
      </c>
      <c r="O1173" s="10">
        <v>2020</v>
      </c>
    </row>
    <row r="1174" spans="3:15" s="2" customFormat="1" ht="13.5" thickBot="1">
      <c r="C1174" s="5" t="s">
        <v>290</v>
      </c>
      <c r="E1174" s="5" t="s">
        <v>291</v>
      </c>
      <c r="H1174" s="5" t="s">
        <v>292</v>
      </c>
      <c r="I1174" s="5"/>
      <c r="J1174" s="5"/>
      <c r="K1174" s="2">
        <f>1298-577</f>
        <v>721</v>
      </c>
      <c r="L1174" s="2">
        <v>37577</v>
      </c>
      <c r="M1174" s="6">
        <v>1978</v>
      </c>
      <c r="N1174" s="2" t="s">
        <v>96</v>
      </c>
      <c r="O1174" s="6"/>
    </row>
    <row r="1175" spans="3:15" s="9" customFormat="1" ht="12.75">
      <c r="C1175" s="9">
        <v>4854299</v>
      </c>
      <c r="F1175" s="9">
        <f>H1175-C1175</f>
        <v>10901</v>
      </c>
      <c r="H1175" s="11">
        <v>4865200</v>
      </c>
      <c r="I1175" s="11"/>
      <c r="J1175" s="11"/>
      <c r="L1175" s="149" t="s">
        <v>293</v>
      </c>
      <c r="M1175" s="10"/>
      <c r="O1175" s="10">
        <v>2004</v>
      </c>
    </row>
    <row r="1176" spans="3:15" s="9" customFormat="1" ht="12.75">
      <c r="C1176" s="9">
        <v>4854302</v>
      </c>
      <c r="F1176" s="9">
        <f>H1176-C1176</f>
        <v>10901</v>
      </c>
      <c r="H1176" s="11">
        <v>4865203</v>
      </c>
      <c r="I1176" s="11"/>
      <c r="J1176" s="11"/>
      <c r="K1176" s="9">
        <v>995</v>
      </c>
      <c r="L1176" s="9">
        <v>36307</v>
      </c>
      <c r="M1176" s="13" t="s">
        <v>294</v>
      </c>
      <c r="N1176" s="9" t="s">
        <v>96</v>
      </c>
      <c r="O1176" s="10">
        <v>2007</v>
      </c>
    </row>
    <row r="1177" spans="3:15" s="9" customFormat="1" ht="12.75">
      <c r="C1177" s="198">
        <v>4854305</v>
      </c>
      <c r="F1177" s="9">
        <f>H1177-C1177</f>
        <v>10901</v>
      </c>
      <c r="H1177" s="11">
        <v>4865206</v>
      </c>
      <c r="I1177" s="11"/>
      <c r="J1177" s="11"/>
      <c r="M1177" s="13" t="s">
        <v>294</v>
      </c>
      <c r="N1177" s="198" t="s">
        <v>171</v>
      </c>
      <c r="O1177" s="10">
        <v>2012</v>
      </c>
    </row>
    <row r="1178" spans="3:15" s="9" customFormat="1" ht="12.75">
      <c r="C1178" s="198">
        <v>4854306</v>
      </c>
      <c r="F1178" s="9">
        <v>10901</v>
      </c>
      <c r="H1178" s="11">
        <v>4865207</v>
      </c>
      <c r="I1178" s="11"/>
      <c r="J1178" s="11"/>
      <c r="M1178" s="13" t="s">
        <v>294</v>
      </c>
      <c r="N1178" s="198" t="s">
        <v>96</v>
      </c>
      <c r="O1178" s="10">
        <v>2010</v>
      </c>
    </row>
    <row r="1179" spans="3:15" s="9" customFormat="1" ht="12.75">
      <c r="C1179" s="198">
        <v>4854307</v>
      </c>
      <c r="F1179" s="9">
        <f aca="true" t="shared" si="38" ref="F1179:F1187">H1179-C1179</f>
        <v>10901</v>
      </c>
      <c r="H1179" s="11">
        <v>4865208</v>
      </c>
      <c r="I1179" s="11"/>
      <c r="J1179" s="11"/>
      <c r="M1179" s="13" t="s">
        <v>294</v>
      </c>
      <c r="N1179" s="198" t="s">
        <v>171</v>
      </c>
      <c r="O1179" s="10">
        <v>2011</v>
      </c>
    </row>
    <row r="1180" spans="3:15" s="9" customFormat="1" ht="12.75">
      <c r="C1180" s="9">
        <v>4854309</v>
      </c>
      <c r="F1180" s="9">
        <f t="shared" si="38"/>
        <v>10901</v>
      </c>
      <c r="H1180" s="11">
        <v>4865210</v>
      </c>
      <c r="I1180" s="11"/>
      <c r="J1180" s="11"/>
      <c r="K1180" s="9">
        <v>995</v>
      </c>
      <c r="L1180" s="9">
        <v>36314</v>
      </c>
      <c r="M1180" s="10">
        <v>1977</v>
      </c>
      <c r="N1180" s="9" t="s">
        <v>96</v>
      </c>
      <c r="O1180" s="10">
        <v>2003</v>
      </c>
    </row>
    <row r="1181" spans="3:15" s="9" customFormat="1" ht="12.75">
      <c r="C1181" s="198">
        <v>4854312</v>
      </c>
      <c r="F1181" s="9">
        <f t="shared" si="38"/>
        <v>10901</v>
      </c>
      <c r="H1181" s="11">
        <v>4865213</v>
      </c>
      <c r="I1181" s="11"/>
      <c r="J1181" s="11"/>
      <c r="M1181" s="13" t="s">
        <v>295</v>
      </c>
      <c r="N1181" s="230" t="s">
        <v>167</v>
      </c>
      <c r="O1181" s="10">
        <v>2010</v>
      </c>
    </row>
    <row r="1182" spans="2:15" s="9" customFormat="1" ht="12.75">
      <c r="B1182" s="16" t="s">
        <v>281</v>
      </c>
      <c r="C1182" s="9">
        <v>4854323</v>
      </c>
      <c r="F1182" s="9">
        <f t="shared" si="38"/>
        <v>10901</v>
      </c>
      <c r="H1182" s="11">
        <v>4865224</v>
      </c>
      <c r="I1182" s="11"/>
      <c r="J1182" s="11"/>
      <c r="M1182" s="10">
        <v>1977</v>
      </c>
      <c r="N1182" s="16" t="s">
        <v>167</v>
      </c>
      <c r="O1182" s="10">
        <v>2007</v>
      </c>
    </row>
    <row r="1183" spans="2:15" s="9" customFormat="1" ht="12.75">
      <c r="B1183" s="16"/>
      <c r="C1183" s="198">
        <v>4854325</v>
      </c>
      <c r="F1183" s="198">
        <f t="shared" si="38"/>
        <v>10901</v>
      </c>
      <c r="H1183" s="11">
        <v>4865226</v>
      </c>
      <c r="I1183" s="11"/>
      <c r="J1183" s="11"/>
      <c r="K1183" s="9">
        <f>1325-330</f>
        <v>995</v>
      </c>
      <c r="L1183" s="268">
        <v>36330</v>
      </c>
      <c r="M1183" s="13" t="s">
        <v>294</v>
      </c>
      <c r="N1183" s="16"/>
      <c r="O1183" s="10">
        <v>2020</v>
      </c>
    </row>
    <row r="1184" spans="2:15" s="9" customFormat="1" ht="12.75">
      <c r="B1184" s="16"/>
      <c r="C1184" s="9">
        <v>4854328</v>
      </c>
      <c r="F1184" s="9">
        <f t="shared" si="38"/>
        <v>10901</v>
      </c>
      <c r="H1184" s="11">
        <v>4865229</v>
      </c>
      <c r="I1184" s="11"/>
      <c r="J1184" s="11"/>
      <c r="M1184" s="10">
        <v>1977</v>
      </c>
      <c r="N1184" s="30">
        <v>101</v>
      </c>
      <c r="O1184" s="10">
        <v>2008</v>
      </c>
    </row>
    <row r="1185" spans="2:15" s="9" customFormat="1" ht="12.75">
      <c r="B1185" s="16"/>
      <c r="C1185" s="198">
        <v>4854344</v>
      </c>
      <c r="F1185" s="198">
        <f t="shared" si="38"/>
        <v>10901</v>
      </c>
      <c r="H1185" s="11">
        <v>4865245</v>
      </c>
      <c r="I1185" s="11"/>
      <c r="J1185" s="11"/>
      <c r="K1185" s="9">
        <f>1344-349</f>
        <v>995</v>
      </c>
      <c r="L1185" s="9">
        <v>36349</v>
      </c>
      <c r="M1185" s="10">
        <v>1977</v>
      </c>
      <c r="N1185" s="48" t="s">
        <v>96</v>
      </c>
      <c r="O1185" s="10">
        <v>2009</v>
      </c>
    </row>
    <row r="1186" spans="2:15" s="9" customFormat="1" ht="12.75">
      <c r="B1186" s="16"/>
      <c r="C1186" s="9">
        <v>4854346</v>
      </c>
      <c r="D1186" s="258">
        <v>1986</v>
      </c>
      <c r="E1186" s="259">
        <v>4860247</v>
      </c>
      <c r="F1186" s="9">
        <f t="shared" si="38"/>
        <v>10901</v>
      </c>
      <c r="H1186" s="99">
        <v>4865247</v>
      </c>
      <c r="I1186" s="99"/>
      <c r="M1186" s="13" t="s">
        <v>296</v>
      </c>
      <c r="N1186" s="30">
        <v>101</v>
      </c>
      <c r="O1186" s="10" t="s">
        <v>297</v>
      </c>
    </row>
    <row r="1187" spans="3:15" s="9" customFormat="1" ht="12.75">
      <c r="C1187" s="9">
        <v>4854347</v>
      </c>
      <c r="D1187" s="9" t="s">
        <v>298</v>
      </c>
      <c r="F1187" s="9">
        <f t="shared" si="38"/>
        <v>10904</v>
      </c>
      <c r="H1187" s="11">
        <v>4865251</v>
      </c>
      <c r="I1187" s="11"/>
      <c r="J1187" s="11"/>
      <c r="M1187" s="10">
        <v>1977</v>
      </c>
      <c r="O1187" s="10">
        <v>2006</v>
      </c>
    </row>
    <row r="1188" spans="3:15" s="9" customFormat="1" ht="12.75">
      <c r="C1188" s="9">
        <v>4854353</v>
      </c>
      <c r="F1188" s="9">
        <v>10901</v>
      </c>
      <c r="H1188" s="11">
        <v>4865254</v>
      </c>
      <c r="I1188" s="11"/>
      <c r="J1188" s="11"/>
      <c r="M1188" s="10">
        <v>1977</v>
      </c>
      <c r="N1188" s="9" t="s">
        <v>96</v>
      </c>
      <c r="O1188" s="10">
        <v>2007</v>
      </c>
    </row>
    <row r="1189" spans="3:15" s="9" customFormat="1" ht="12.75">
      <c r="C1189" s="9">
        <v>4854351</v>
      </c>
      <c r="F1189" s="9">
        <f>H1189-C1189</f>
        <v>10901</v>
      </c>
      <c r="H1189" s="11">
        <v>4865252</v>
      </c>
      <c r="I1189" s="11"/>
      <c r="J1189" s="11"/>
      <c r="M1189" s="10"/>
      <c r="O1189" s="10">
        <v>2003</v>
      </c>
    </row>
    <row r="1190" spans="3:15" s="9" customFormat="1" ht="12.75">
      <c r="C1190" s="9">
        <v>4854355</v>
      </c>
      <c r="F1190" s="9">
        <f>H1190-C1190</f>
        <v>10901</v>
      </c>
      <c r="H1190" s="11">
        <v>4865256</v>
      </c>
      <c r="I1190" s="11"/>
      <c r="J1190" s="11"/>
      <c r="M1190" s="10">
        <v>1977</v>
      </c>
      <c r="O1190" s="10">
        <v>2006</v>
      </c>
    </row>
    <row r="1191" spans="3:15" s="9" customFormat="1" ht="12.75">
      <c r="C1191" s="9">
        <v>4854356</v>
      </c>
      <c r="F1191" s="9">
        <f>H1191-C1191</f>
        <v>10901</v>
      </c>
      <c r="H1191" s="11">
        <v>4865257</v>
      </c>
      <c r="I1191" s="11"/>
      <c r="J1191" s="11"/>
      <c r="M1191" s="10"/>
      <c r="O1191" s="10">
        <v>2006</v>
      </c>
    </row>
    <row r="1192" spans="3:15" s="9" customFormat="1" ht="12.75">
      <c r="C1192" s="9">
        <v>4854358</v>
      </c>
      <c r="F1192" s="9">
        <f>H1192-C1192</f>
        <v>10901</v>
      </c>
      <c r="H1192" s="11">
        <v>4865259</v>
      </c>
      <c r="I1192" s="11"/>
      <c r="J1192" s="11"/>
      <c r="M1192" s="10"/>
      <c r="O1192" s="10">
        <v>2006</v>
      </c>
    </row>
    <row r="1193" spans="3:15" s="9" customFormat="1" ht="12.75">
      <c r="C1193" s="9">
        <v>4854363</v>
      </c>
      <c r="F1193" s="9">
        <v>10901</v>
      </c>
      <c r="H1193" s="9">
        <v>4865264</v>
      </c>
      <c r="K1193" s="9">
        <v>995</v>
      </c>
      <c r="L1193" s="9">
        <v>36368</v>
      </c>
      <c r="M1193" s="10">
        <v>1977</v>
      </c>
      <c r="N1193" s="9" t="s">
        <v>96</v>
      </c>
      <c r="O1193" s="10"/>
    </row>
    <row r="1194" spans="3:15" s="9" customFormat="1" ht="12.75">
      <c r="C1194" s="9">
        <v>4854364</v>
      </c>
      <c r="F1194" s="9">
        <v>10901</v>
      </c>
      <c r="H1194" s="62">
        <v>4865265</v>
      </c>
      <c r="I1194" s="62"/>
      <c r="J1194" s="62"/>
      <c r="M1194" s="13" t="s">
        <v>296</v>
      </c>
      <c r="N1194" s="9" t="s">
        <v>96</v>
      </c>
      <c r="O1194" s="10">
        <v>2008</v>
      </c>
    </row>
    <row r="1195" spans="3:15" s="9" customFormat="1" ht="12.75">
      <c r="C1195" s="9">
        <v>4854367</v>
      </c>
      <c r="F1195" s="9">
        <v>10901</v>
      </c>
      <c r="H1195" s="62">
        <v>4865268</v>
      </c>
      <c r="I1195" s="62"/>
      <c r="J1195" s="62"/>
      <c r="M1195" s="13">
        <v>1977</v>
      </c>
      <c r="N1195" s="9" t="s">
        <v>96</v>
      </c>
      <c r="O1195" s="10">
        <v>2009</v>
      </c>
    </row>
    <row r="1196" spans="3:15" s="9" customFormat="1" ht="12.75">
      <c r="C1196" s="9">
        <v>4854368</v>
      </c>
      <c r="F1196" s="9">
        <v>10901</v>
      </c>
      <c r="H1196" s="67">
        <v>4865269</v>
      </c>
      <c r="I1196" s="67"/>
      <c r="J1196" s="67"/>
      <c r="M1196" s="13" t="s">
        <v>299</v>
      </c>
      <c r="N1196" s="9" t="s">
        <v>171</v>
      </c>
      <c r="O1196" s="10">
        <v>2008</v>
      </c>
    </row>
    <row r="1197" spans="3:15" s="9" customFormat="1" ht="12.75">
      <c r="C1197" s="9">
        <v>4854369</v>
      </c>
      <c r="F1197" s="9">
        <f aca="true" t="shared" si="39" ref="F1197:F1211">H1197-C1197</f>
        <v>10901</v>
      </c>
      <c r="H1197" s="11">
        <v>4865270</v>
      </c>
      <c r="I1197" s="11"/>
      <c r="J1197" s="11"/>
      <c r="K1197" s="9">
        <v>995</v>
      </c>
      <c r="L1197" s="9">
        <v>36374</v>
      </c>
      <c r="M1197" s="10">
        <v>1977</v>
      </c>
      <c r="N1197" s="9" t="s">
        <v>96</v>
      </c>
      <c r="O1197" s="10">
        <v>2005</v>
      </c>
    </row>
    <row r="1198" spans="3:15" s="9" customFormat="1" ht="12.75">
      <c r="C1198" s="198">
        <v>4854370</v>
      </c>
      <c r="F1198" s="9">
        <f t="shared" si="39"/>
        <v>10901</v>
      </c>
      <c r="H1198" s="11">
        <v>4865271</v>
      </c>
      <c r="I1198" s="11"/>
      <c r="J1198" s="11"/>
      <c r="M1198" s="13" t="s">
        <v>299</v>
      </c>
      <c r="N1198" s="198" t="s">
        <v>171</v>
      </c>
      <c r="O1198" s="10">
        <v>2014</v>
      </c>
    </row>
    <row r="1199" spans="3:15" s="9" customFormat="1" ht="12.75">
      <c r="C1199" s="9">
        <v>4854373</v>
      </c>
      <c r="F1199" s="9">
        <f t="shared" si="39"/>
        <v>10901</v>
      </c>
      <c r="H1199" s="11">
        <v>4865274</v>
      </c>
      <c r="I1199" s="11"/>
      <c r="J1199" s="11"/>
      <c r="M1199" s="10">
        <v>1977</v>
      </c>
      <c r="O1199" s="10">
        <v>2006</v>
      </c>
    </row>
    <row r="1200" spans="3:15" s="9" customFormat="1" ht="12.75">
      <c r="C1200" s="9">
        <v>4854381</v>
      </c>
      <c r="F1200" s="9">
        <f t="shared" si="39"/>
        <v>10901</v>
      </c>
      <c r="H1200" s="11">
        <v>4865282</v>
      </c>
      <c r="I1200" s="11"/>
      <c r="J1200" s="11"/>
      <c r="M1200" s="10">
        <v>1977</v>
      </c>
      <c r="O1200" s="10">
        <v>2006</v>
      </c>
    </row>
    <row r="1201" spans="3:15" s="9" customFormat="1" ht="12.75">
      <c r="C1201" s="9">
        <v>4854383</v>
      </c>
      <c r="F1201" s="9">
        <f t="shared" si="39"/>
        <v>10901</v>
      </c>
      <c r="H1201" s="11">
        <v>4865284</v>
      </c>
      <c r="I1201" s="11"/>
      <c r="J1201" s="11"/>
      <c r="M1201" s="13" t="s">
        <v>299</v>
      </c>
      <c r="N1201" s="9" t="s">
        <v>214</v>
      </c>
      <c r="O1201" s="10">
        <v>2008</v>
      </c>
    </row>
    <row r="1202" spans="3:15" s="9" customFormat="1" ht="12.75">
      <c r="C1202" s="198">
        <v>4854388</v>
      </c>
      <c r="F1202" s="198">
        <f t="shared" si="39"/>
        <v>10901</v>
      </c>
      <c r="H1202" s="11">
        <v>4865289</v>
      </c>
      <c r="I1202" s="11"/>
      <c r="J1202" s="11"/>
      <c r="K1202" s="9">
        <f>1388-393</f>
        <v>995</v>
      </c>
      <c r="L1202" s="9">
        <v>36393</v>
      </c>
      <c r="M1202" s="13" t="s">
        <v>300</v>
      </c>
      <c r="N1202" s="198" t="s">
        <v>96</v>
      </c>
      <c r="O1202" s="10"/>
    </row>
    <row r="1203" spans="3:15" s="9" customFormat="1" ht="12.75">
      <c r="C1203" s="198">
        <v>4854389</v>
      </c>
      <c r="F1203" s="198">
        <f t="shared" si="39"/>
        <v>10901</v>
      </c>
      <c r="H1203" s="11">
        <v>4865290</v>
      </c>
      <c r="I1203" s="11"/>
      <c r="J1203" s="11"/>
      <c r="M1203" s="13" t="s">
        <v>300</v>
      </c>
      <c r="N1203" s="198" t="s">
        <v>171</v>
      </c>
      <c r="O1203" s="10">
        <v>2012</v>
      </c>
    </row>
    <row r="1204" spans="3:15" s="9" customFormat="1" ht="12.75">
      <c r="C1204" s="9">
        <v>4854391</v>
      </c>
      <c r="F1204" s="9">
        <f t="shared" si="39"/>
        <v>10901</v>
      </c>
      <c r="H1204" s="11">
        <v>4865292</v>
      </c>
      <c r="I1204" s="11"/>
      <c r="J1204" s="11"/>
      <c r="M1204" s="13" t="s">
        <v>300</v>
      </c>
      <c r="N1204" s="9" t="s">
        <v>171</v>
      </c>
      <c r="O1204" s="10">
        <v>2008</v>
      </c>
    </row>
    <row r="1205" spans="3:15" s="9" customFormat="1" ht="12.75">
      <c r="C1205" s="9">
        <v>4854393</v>
      </c>
      <c r="E1205" s="9">
        <v>4860294</v>
      </c>
      <c r="F1205" s="9">
        <f t="shared" si="39"/>
        <v>10901</v>
      </c>
      <c r="H1205" s="11">
        <v>4865294</v>
      </c>
      <c r="I1205" s="11"/>
      <c r="J1205" s="11"/>
      <c r="M1205" s="10">
        <v>1977</v>
      </c>
      <c r="N1205" s="9" t="s">
        <v>96</v>
      </c>
      <c r="O1205" s="10" t="s">
        <v>301</v>
      </c>
    </row>
    <row r="1206" spans="2:15" s="9" customFormat="1" ht="12.75">
      <c r="B1206" s="16" t="s">
        <v>281</v>
      </c>
      <c r="C1206" s="9">
        <v>4854394</v>
      </c>
      <c r="F1206" s="9">
        <f t="shared" si="39"/>
        <v>10901</v>
      </c>
      <c r="H1206" s="11">
        <v>4865295</v>
      </c>
      <c r="I1206" s="11"/>
      <c r="J1206" s="11"/>
      <c r="K1206" s="9">
        <v>995</v>
      </c>
      <c r="L1206" s="9">
        <v>36399</v>
      </c>
      <c r="M1206" s="10">
        <v>1977</v>
      </c>
      <c r="N1206" s="9" t="s">
        <v>302</v>
      </c>
      <c r="O1206" s="10">
        <v>2007</v>
      </c>
    </row>
    <row r="1207" spans="2:15" s="9" customFormat="1" ht="12.75">
      <c r="B1207" s="16"/>
      <c r="C1207" s="198">
        <v>4854395</v>
      </c>
      <c r="F1207" s="198">
        <f t="shared" si="39"/>
        <v>10901</v>
      </c>
      <c r="H1207" s="11">
        <v>4865296</v>
      </c>
      <c r="I1207" s="11"/>
      <c r="J1207" s="11"/>
      <c r="K1207" s="9">
        <v>995</v>
      </c>
      <c r="L1207" s="9">
        <v>36400</v>
      </c>
      <c r="M1207" s="10">
        <v>1977</v>
      </c>
      <c r="N1207" s="198" t="s">
        <v>96</v>
      </c>
      <c r="O1207" s="10">
        <v>2010</v>
      </c>
    </row>
    <row r="1208" spans="3:15" s="9" customFormat="1" ht="12.75">
      <c r="C1208" s="9">
        <v>4854396</v>
      </c>
      <c r="F1208" s="9">
        <f t="shared" si="39"/>
        <v>10901</v>
      </c>
      <c r="H1208" s="11">
        <v>4865297</v>
      </c>
      <c r="I1208" s="11"/>
      <c r="J1208" s="11"/>
      <c r="K1208" s="9">
        <v>995</v>
      </c>
      <c r="L1208" s="9">
        <v>36401</v>
      </c>
      <c r="M1208" s="10">
        <v>1977</v>
      </c>
      <c r="N1208" s="9" t="s">
        <v>96</v>
      </c>
      <c r="O1208" s="10">
        <v>2006</v>
      </c>
    </row>
    <row r="1209" spans="3:15" s="9" customFormat="1" ht="12.75">
      <c r="C1209" s="198">
        <v>4854398</v>
      </c>
      <c r="F1209" s="198">
        <f t="shared" si="39"/>
        <v>10901</v>
      </c>
      <c r="H1209" s="11">
        <v>4865299</v>
      </c>
      <c r="I1209" s="11"/>
      <c r="J1209" s="11"/>
      <c r="L1209" s="198">
        <v>36403</v>
      </c>
      <c r="M1209" s="10">
        <v>1977</v>
      </c>
      <c r="N1209" s="198" t="s">
        <v>96</v>
      </c>
      <c r="O1209" s="10">
        <v>2016</v>
      </c>
    </row>
    <row r="1210" spans="3:15" s="9" customFormat="1" ht="12.75">
      <c r="C1210" s="9">
        <v>4854399</v>
      </c>
      <c r="F1210" s="9">
        <f t="shared" si="39"/>
        <v>10901</v>
      </c>
      <c r="H1210" s="11">
        <v>4865300</v>
      </c>
      <c r="I1210" s="11"/>
      <c r="J1210" s="11"/>
      <c r="M1210" s="10">
        <v>1977</v>
      </c>
      <c r="N1210" s="9" t="s">
        <v>96</v>
      </c>
      <c r="O1210" s="10">
        <v>2007</v>
      </c>
    </row>
    <row r="1211" spans="3:15" s="9" customFormat="1" ht="12.75">
      <c r="C1211" s="9">
        <v>4854400</v>
      </c>
      <c r="F1211" s="9">
        <f t="shared" si="39"/>
        <v>10901</v>
      </c>
      <c r="H1211" s="11">
        <v>4865301</v>
      </c>
      <c r="I1211" s="11"/>
      <c r="J1211" s="11"/>
      <c r="M1211" s="13" t="s">
        <v>300</v>
      </c>
      <c r="N1211" s="9" t="s">
        <v>171</v>
      </c>
      <c r="O1211" s="10">
        <v>2008</v>
      </c>
    </row>
    <row r="1212" spans="5:15" s="9" customFormat="1" ht="12.75">
      <c r="E1212" s="9">
        <v>4860305</v>
      </c>
      <c r="H1212" s="11">
        <v>4865305</v>
      </c>
      <c r="I1212" s="11"/>
      <c r="J1212" s="11"/>
      <c r="M1212" s="10">
        <v>1977</v>
      </c>
      <c r="N1212" s="9" t="s">
        <v>96</v>
      </c>
      <c r="O1212" s="10">
        <v>1996</v>
      </c>
    </row>
    <row r="1213" spans="3:15" s="9" customFormat="1" ht="12.75">
      <c r="C1213" s="198">
        <v>4854406</v>
      </c>
      <c r="E1213" s="9">
        <v>4860307</v>
      </c>
      <c r="F1213" s="9">
        <f aca="true" t="shared" si="40" ref="F1213:F1225">H1213-C1213</f>
        <v>10901</v>
      </c>
      <c r="H1213" s="11">
        <v>4865307</v>
      </c>
      <c r="I1213" s="11"/>
      <c r="J1213" s="11"/>
      <c r="M1213" s="13" t="s">
        <v>303</v>
      </c>
      <c r="N1213" s="198" t="s">
        <v>96</v>
      </c>
      <c r="O1213" s="10">
        <v>2010</v>
      </c>
    </row>
    <row r="1214" spans="3:15" s="9" customFormat="1" ht="12.75">
      <c r="C1214" s="198">
        <v>4854408</v>
      </c>
      <c r="F1214" s="198">
        <f t="shared" si="40"/>
        <v>10901</v>
      </c>
      <c r="H1214" s="11">
        <v>4865309</v>
      </c>
      <c r="I1214" s="11"/>
      <c r="J1214" s="11"/>
      <c r="M1214" s="13" t="s">
        <v>303</v>
      </c>
      <c r="N1214" s="198" t="s">
        <v>96</v>
      </c>
      <c r="O1214" s="10">
        <v>2012</v>
      </c>
    </row>
    <row r="1215" spans="3:15" s="9" customFormat="1" ht="12.75">
      <c r="C1215" s="9">
        <v>4854410</v>
      </c>
      <c r="E1215" s="53">
        <v>4860311</v>
      </c>
      <c r="F1215" s="9">
        <f t="shared" si="40"/>
        <v>10901</v>
      </c>
      <c r="H1215" s="109">
        <v>4865311</v>
      </c>
      <c r="I1215" s="109"/>
      <c r="M1215" s="10"/>
      <c r="O1215" s="10">
        <v>1991</v>
      </c>
    </row>
    <row r="1216" spans="3:15" s="9" customFormat="1" ht="12.75">
      <c r="C1216" s="9">
        <v>4854413</v>
      </c>
      <c r="E1216" s="9">
        <v>4860314</v>
      </c>
      <c r="F1216" s="9">
        <f t="shared" si="40"/>
        <v>10901</v>
      </c>
      <c r="H1216" s="53">
        <v>4865314</v>
      </c>
      <c r="I1216" s="53"/>
      <c r="M1216" s="13" t="s">
        <v>303</v>
      </c>
      <c r="N1216" s="9" t="s">
        <v>96</v>
      </c>
      <c r="O1216" s="10" t="s">
        <v>304</v>
      </c>
    </row>
    <row r="1217" spans="3:15" s="9" customFormat="1" ht="12.75">
      <c r="C1217" s="9">
        <v>4854415</v>
      </c>
      <c r="F1217" s="9">
        <f t="shared" si="40"/>
        <v>10901</v>
      </c>
      <c r="H1217" s="11">
        <v>4865316</v>
      </c>
      <c r="I1217" s="11"/>
      <c r="J1217" s="11"/>
      <c r="K1217" s="9">
        <v>995</v>
      </c>
      <c r="L1217" s="9">
        <v>36421</v>
      </c>
      <c r="M1217" s="10">
        <v>1977</v>
      </c>
      <c r="N1217" s="9" t="s">
        <v>96</v>
      </c>
      <c r="O1217" s="10">
        <v>2006</v>
      </c>
    </row>
    <row r="1218" spans="3:15" s="9" customFormat="1" ht="12.75">
      <c r="C1218" s="9">
        <v>4854417</v>
      </c>
      <c r="F1218" s="9">
        <f t="shared" si="40"/>
        <v>10901</v>
      </c>
      <c r="H1218" s="11">
        <v>4865318</v>
      </c>
      <c r="I1218" s="11"/>
      <c r="J1218" s="11"/>
      <c r="M1218" s="13" t="s">
        <v>303</v>
      </c>
      <c r="N1218" s="9" t="s">
        <v>96</v>
      </c>
      <c r="O1218" s="10">
        <v>2009</v>
      </c>
    </row>
    <row r="1219" spans="3:15" s="9" customFormat="1" ht="12.75">
      <c r="C1219" s="9">
        <v>4854418</v>
      </c>
      <c r="F1219" s="9">
        <f t="shared" si="40"/>
        <v>10901</v>
      </c>
      <c r="H1219" s="11">
        <v>4865319</v>
      </c>
      <c r="I1219" s="11"/>
      <c r="J1219" s="11"/>
      <c r="K1219" s="9">
        <f>1418-423</f>
        <v>995</v>
      </c>
      <c r="L1219" s="9">
        <v>36423</v>
      </c>
      <c r="M1219" s="13" t="s">
        <v>303</v>
      </c>
      <c r="N1219" s="9" t="s">
        <v>96</v>
      </c>
      <c r="O1219" s="10">
        <v>2008</v>
      </c>
    </row>
    <row r="1220" spans="3:15" s="9" customFormat="1" ht="12.75">
      <c r="C1220" s="9">
        <v>4854421</v>
      </c>
      <c r="F1220" s="9">
        <f t="shared" si="40"/>
        <v>10901</v>
      </c>
      <c r="H1220" s="11">
        <v>4865322</v>
      </c>
      <c r="I1220" s="11"/>
      <c r="J1220" s="11"/>
      <c r="M1220" s="13" t="s">
        <v>303</v>
      </c>
      <c r="N1220" s="9" t="s">
        <v>171</v>
      </c>
      <c r="O1220" s="10">
        <v>2008</v>
      </c>
    </row>
    <row r="1221" spans="3:15" s="9" customFormat="1" ht="12.75">
      <c r="C1221" s="198">
        <v>4854424</v>
      </c>
      <c r="F1221" s="198">
        <f t="shared" si="40"/>
        <v>10901</v>
      </c>
      <c r="H1221" s="11">
        <v>4865325</v>
      </c>
      <c r="I1221" s="11"/>
      <c r="J1221" s="11"/>
      <c r="M1221" s="13" t="s">
        <v>303</v>
      </c>
      <c r="N1221" s="48">
        <v>101</v>
      </c>
      <c r="O1221" s="10">
        <v>2010</v>
      </c>
    </row>
    <row r="1222" spans="3:15" s="9" customFormat="1" ht="12.75">
      <c r="C1222" s="9">
        <v>4854425</v>
      </c>
      <c r="F1222" s="9">
        <f t="shared" si="40"/>
        <v>10901</v>
      </c>
      <c r="H1222" s="11">
        <v>4865326</v>
      </c>
      <c r="I1222" s="11"/>
      <c r="J1222" s="11"/>
      <c r="M1222" s="13" t="s">
        <v>305</v>
      </c>
      <c r="N1222" s="16" t="s">
        <v>167</v>
      </c>
      <c r="O1222" s="10">
        <v>2008</v>
      </c>
    </row>
    <row r="1223" spans="3:15" s="9" customFormat="1" ht="12.75">
      <c r="C1223" s="9">
        <v>4854429</v>
      </c>
      <c r="F1223" s="9">
        <f t="shared" si="40"/>
        <v>10901</v>
      </c>
      <c r="H1223" s="11">
        <v>4865330</v>
      </c>
      <c r="I1223" s="11"/>
      <c r="J1223" s="11"/>
      <c r="M1223" s="13" t="s">
        <v>306</v>
      </c>
      <c r="N1223" s="9" t="s">
        <v>96</v>
      </c>
      <c r="O1223" s="10">
        <v>2008</v>
      </c>
    </row>
    <row r="1224" spans="3:15" s="9" customFormat="1" ht="12.75">
      <c r="C1224" s="9">
        <v>4854430</v>
      </c>
      <c r="F1224" s="9">
        <f t="shared" si="40"/>
        <v>10901</v>
      </c>
      <c r="H1224" s="11">
        <v>4865331</v>
      </c>
      <c r="I1224" s="11"/>
      <c r="J1224" s="11"/>
      <c r="M1224" s="13" t="s">
        <v>306</v>
      </c>
      <c r="N1224" s="9" t="s">
        <v>171</v>
      </c>
      <c r="O1224" s="10">
        <v>2008</v>
      </c>
    </row>
    <row r="1225" spans="3:15" s="9" customFormat="1" ht="12.75">
      <c r="C1225" s="9">
        <v>4854432</v>
      </c>
      <c r="F1225" s="9">
        <f t="shared" si="40"/>
        <v>10901</v>
      </c>
      <c r="H1225" s="11">
        <v>4865333</v>
      </c>
      <c r="I1225" s="11"/>
      <c r="J1225" s="11"/>
      <c r="M1225" s="13">
        <v>1977</v>
      </c>
      <c r="N1225" s="9" t="s">
        <v>96</v>
      </c>
      <c r="O1225" s="10">
        <v>2009</v>
      </c>
    </row>
    <row r="1226" spans="3:15" s="9" customFormat="1" ht="12.75">
      <c r="C1226" s="198">
        <v>4854433</v>
      </c>
      <c r="F1226" s="9">
        <v>10901</v>
      </c>
      <c r="H1226" s="11">
        <v>4865334</v>
      </c>
      <c r="I1226" s="11"/>
      <c r="J1226" s="11"/>
      <c r="K1226" s="9">
        <f>1433-438</f>
        <v>995</v>
      </c>
      <c r="L1226" s="9">
        <v>36438</v>
      </c>
      <c r="M1226" s="13" t="s">
        <v>306</v>
      </c>
      <c r="N1226" s="198" t="s">
        <v>96</v>
      </c>
      <c r="O1226" s="10">
        <v>2010</v>
      </c>
    </row>
    <row r="1227" spans="3:15" s="9" customFormat="1" ht="12.75">
      <c r="C1227" s="9">
        <v>4854436</v>
      </c>
      <c r="F1227" s="9">
        <f aca="true" t="shared" si="41" ref="F1227:F1249">H1227-C1227</f>
        <v>10901</v>
      </c>
      <c r="H1227" s="11">
        <v>4865337</v>
      </c>
      <c r="I1227" s="11"/>
      <c r="J1227" s="11"/>
      <c r="M1227" s="10">
        <v>1977</v>
      </c>
      <c r="O1227" s="10">
        <v>2006</v>
      </c>
    </row>
    <row r="1228" spans="3:15" s="9" customFormat="1" ht="12.75">
      <c r="C1228" s="198">
        <v>4854446</v>
      </c>
      <c r="F1228" s="198">
        <f t="shared" si="41"/>
        <v>10901</v>
      </c>
      <c r="H1228" s="11">
        <v>4865347</v>
      </c>
      <c r="I1228" s="11"/>
      <c r="J1228" s="11"/>
      <c r="M1228" s="10">
        <v>1977</v>
      </c>
      <c r="O1228" s="10">
        <v>2020</v>
      </c>
    </row>
    <row r="1229" spans="3:15" s="9" customFormat="1" ht="12.75">
      <c r="C1229" s="9">
        <v>4854448</v>
      </c>
      <c r="F1229" s="9">
        <f t="shared" si="41"/>
        <v>10901</v>
      </c>
      <c r="H1229" s="11">
        <v>4865349</v>
      </c>
      <c r="I1229" s="11"/>
      <c r="J1229" s="11"/>
      <c r="M1229" s="10"/>
      <c r="O1229" s="10">
        <v>2008</v>
      </c>
    </row>
    <row r="1230" spans="3:15" s="9" customFormat="1" ht="12.75">
      <c r="C1230" s="9">
        <v>4854449</v>
      </c>
      <c r="F1230" s="9">
        <f t="shared" si="41"/>
        <v>10901</v>
      </c>
      <c r="H1230" s="11">
        <v>4865350</v>
      </c>
      <c r="I1230" s="11"/>
      <c r="J1230" s="11"/>
      <c r="K1230" s="9">
        <f>1449-454</f>
        <v>995</v>
      </c>
      <c r="L1230" s="9">
        <v>36454</v>
      </c>
      <c r="M1230" s="10">
        <v>1977</v>
      </c>
      <c r="N1230" s="9" t="s">
        <v>96</v>
      </c>
      <c r="O1230" s="10">
        <v>2009</v>
      </c>
    </row>
    <row r="1231" spans="3:15" s="9" customFormat="1" ht="12.75">
      <c r="C1231" s="9">
        <v>4854450</v>
      </c>
      <c r="F1231" s="9">
        <f t="shared" si="41"/>
        <v>10901</v>
      </c>
      <c r="H1231" s="11">
        <v>4865351</v>
      </c>
      <c r="I1231" s="11"/>
      <c r="J1231" s="11"/>
      <c r="M1231" s="10"/>
      <c r="O1231" s="10">
        <v>2004</v>
      </c>
    </row>
    <row r="1232" spans="3:15" s="9" customFormat="1" ht="12.75">
      <c r="C1232" s="198">
        <v>4854455</v>
      </c>
      <c r="F1232" s="198">
        <f t="shared" si="41"/>
        <v>10901</v>
      </c>
      <c r="H1232" s="11">
        <v>4865356</v>
      </c>
      <c r="I1232" s="11"/>
      <c r="J1232" s="11"/>
      <c r="M1232" s="13" t="s">
        <v>307</v>
      </c>
      <c r="N1232" s="9" t="s">
        <v>96</v>
      </c>
      <c r="O1232" s="10">
        <v>2020</v>
      </c>
    </row>
    <row r="1233" spans="3:15" s="9" customFormat="1" ht="12.75">
      <c r="C1233" s="9">
        <v>4854456</v>
      </c>
      <c r="F1233" s="9">
        <f t="shared" si="41"/>
        <v>10901</v>
      </c>
      <c r="H1233" s="11">
        <v>4865357</v>
      </c>
      <c r="I1233" s="11"/>
      <c r="J1233" s="11"/>
      <c r="M1233" s="10">
        <v>1977</v>
      </c>
      <c r="N1233" s="9" t="s">
        <v>96</v>
      </c>
      <c r="O1233" s="10">
        <v>2007</v>
      </c>
    </row>
    <row r="1234" spans="3:15" s="9" customFormat="1" ht="12.75">
      <c r="C1234" s="9">
        <v>4854459</v>
      </c>
      <c r="F1234" s="9">
        <f t="shared" si="41"/>
        <v>10901</v>
      </c>
      <c r="H1234" s="11">
        <v>4865360</v>
      </c>
      <c r="I1234" s="11"/>
      <c r="J1234" s="11"/>
      <c r="K1234" s="9">
        <f>1459-464</f>
        <v>995</v>
      </c>
      <c r="L1234" s="9">
        <v>36464</v>
      </c>
      <c r="M1234" s="10">
        <v>1977</v>
      </c>
      <c r="N1234" s="9" t="s">
        <v>96</v>
      </c>
      <c r="O1234" s="10">
        <v>2009</v>
      </c>
    </row>
    <row r="1235" spans="3:15" s="9" customFormat="1" ht="12.75">
      <c r="C1235" s="198">
        <v>4854460</v>
      </c>
      <c r="F1235" s="198">
        <f t="shared" si="41"/>
        <v>10901</v>
      </c>
      <c r="H1235" s="11">
        <v>4865361</v>
      </c>
      <c r="I1235" s="11"/>
      <c r="J1235" s="11"/>
      <c r="K1235" s="9">
        <v>995</v>
      </c>
      <c r="L1235" s="9">
        <v>36465</v>
      </c>
      <c r="M1235" s="10">
        <v>1977</v>
      </c>
      <c r="N1235" s="198" t="s">
        <v>96</v>
      </c>
      <c r="O1235" s="10">
        <v>2014</v>
      </c>
    </row>
    <row r="1236" spans="3:15" s="9" customFormat="1" ht="12.75">
      <c r="C1236" s="9">
        <v>4854464</v>
      </c>
      <c r="F1236" s="9">
        <f t="shared" si="41"/>
        <v>10901</v>
      </c>
      <c r="H1236" s="11">
        <v>4865365</v>
      </c>
      <c r="I1236" s="11"/>
      <c r="J1236" s="11"/>
      <c r="K1236" s="9">
        <f>1464-469</f>
        <v>995</v>
      </c>
      <c r="L1236" s="9">
        <v>36469</v>
      </c>
      <c r="M1236" s="13" t="s">
        <v>307</v>
      </c>
      <c r="N1236" s="9" t="s">
        <v>171</v>
      </c>
      <c r="O1236" s="10">
        <v>2008</v>
      </c>
    </row>
    <row r="1237" spans="3:15" s="9" customFormat="1" ht="12.75">
      <c r="C1237" s="9">
        <v>4854467</v>
      </c>
      <c r="F1237" s="9">
        <f t="shared" si="41"/>
        <v>10901</v>
      </c>
      <c r="H1237" s="11">
        <v>4865368</v>
      </c>
      <c r="I1237" s="11"/>
      <c r="J1237" s="11"/>
      <c r="M1237" s="13" t="s">
        <v>307</v>
      </c>
      <c r="N1237" s="9" t="s">
        <v>171</v>
      </c>
      <c r="O1237" s="10">
        <v>2008</v>
      </c>
    </row>
    <row r="1238" spans="3:15" s="9" customFormat="1" ht="12.75">
      <c r="C1238" s="198">
        <v>4854468</v>
      </c>
      <c r="F1238" s="198">
        <f t="shared" si="41"/>
        <v>10901</v>
      </c>
      <c r="H1238" s="11">
        <v>4865369</v>
      </c>
      <c r="I1238" s="11"/>
      <c r="J1238" s="11"/>
      <c r="M1238" s="13" t="s">
        <v>307</v>
      </c>
      <c r="N1238" s="9" t="s">
        <v>171</v>
      </c>
      <c r="O1238" s="10">
        <v>2013</v>
      </c>
    </row>
    <row r="1239" spans="3:15" s="9" customFormat="1" ht="12.75">
      <c r="C1239" s="9">
        <v>4854472</v>
      </c>
      <c r="F1239" s="9">
        <f t="shared" si="41"/>
        <v>10901</v>
      </c>
      <c r="H1239" s="11">
        <v>4865373</v>
      </c>
      <c r="I1239" s="11"/>
      <c r="J1239" s="11"/>
      <c r="K1239" s="9">
        <f>1472-477</f>
        <v>995</v>
      </c>
      <c r="L1239" s="9">
        <v>36477</v>
      </c>
      <c r="M1239" s="10">
        <v>1977</v>
      </c>
      <c r="N1239" s="9" t="s">
        <v>96</v>
      </c>
      <c r="O1239" s="10">
        <v>2008</v>
      </c>
    </row>
    <row r="1240" spans="3:15" s="9" customFormat="1" ht="12.75">
      <c r="C1240" s="9">
        <v>4854476</v>
      </c>
      <c r="F1240" s="9">
        <f t="shared" si="41"/>
        <v>10901</v>
      </c>
      <c r="H1240" s="11">
        <v>4865377</v>
      </c>
      <c r="I1240" s="11"/>
      <c r="J1240" s="11"/>
      <c r="K1240" s="9">
        <f>1476-481</f>
        <v>995</v>
      </c>
      <c r="L1240" s="9">
        <v>36481</v>
      </c>
      <c r="M1240" s="10">
        <v>1977</v>
      </c>
      <c r="N1240" s="9" t="s">
        <v>171</v>
      </c>
      <c r="O1240" s="10">
        <v>2008</v>
      </c>
    </row>
    <row r="1241" spans="3:15" s="9" customFormat="1" ht="12.75">
      <c r="C1241" s="198">
        <v>4854481</v>
      </c>
      <c r="F1241" s="198">
        <f t="shared" si="41"/>
        <v>10901</v>
      </c>
      <c r="H1241" s="11">
        <v>4865382</v>
      </c>
      <c r="I1241" s="11"/>
      <c r="J1241" s="11"/>
      <c r="K1241" s="9">
        <v>995</v>
      </c>
      <c r="L1241" s="198">
        <v>36486</v>
      </c>
      <c r="M1241" s="13" t="s">
        <v>307</v>
      </c>
      <c r="N1241" s="198" t="s">
        <v>96</v>
      </c>
      <c r="O1241" s="10">
        <v>2011</v>
      </c>
    </row>
    <row r="1242" spans="3:15" s="9" customFormat="1" ht="12.75">
      <c r="C1242" s="198">
        <v>4854486</v>
      </c>
      <c r="F1242" s="198">
        <f t="shared" si="41"/>
        <v>10901</v>
      </c>
      <c r="H1242" s="11">
        <v>4865387</v>
      </c>
      <c r="I1242" s="11"/>
      <c r="J1242" s="11"/>
      <c r="K1242" s="9">
        <v>995</v>
      </c>
      <c r="L1242" s="198">
        <v>36491</v>
      </c>
      <c r="M1242" s="13" t="s">
        <v>308</v>
      </c>
      <c r="N1242" s="198" t="s">
        <v>96</v>
      </c>
      <c r="O1242" s="10">
        <v>2012</v>
      </c>
    </row>
    <row r="1243" spans="3:15" s="9" customFormat="1" ht="12.75">
      <c r="C1243" s="9">
        <v>4854492</v>
      </c>
      <c r="F1243" s="9">
        <f t="shared" si="41"/>
        <v>10901</v>
      </c>
      <c r="H1243" s="11">
        <v>4865393</v>
      </c>
      <c r="I1243" s="11"/>
      <c r="J1243" s="11"/>
      <c r="M1243" s="10"/>
      <c r="O1243" s="10">
        <v>2002</v>
      </c>
    </row>
    <row r="1244" spans="3:15" s="9" customFormat="1" ht="12.75">
      <c r="C1244" s="9">
        <v>4854495</v>
      </c>
      <c r="F1244" s="9">
        <f t="shared" si="41"/>
        <v>10901</v>
      </c>
      <c r="H1244" s="11">
        <v>4865396</v>
      </c>
      <c r="I1244" s="11"/>
      <c r="J1244" s="11"/>
      <c r="K1244" s="9">
        <f>1495-500</f>
        <v>995</v>
      </c>
      <c r="L1244" s="9">
        <v>36500</v>
      </c>
      <c r="M1244" s="10">
        <v>1977</v>
      </c>
      <c r="N1244" s="9" t="s">
        <v>96</v>
      </c>
      <c r="O1244" s="10">
        <v>2008</v>
      </c>
    </row>
    <row r="1245" spans="3:15" s="9" customFormat="1" ht="12.75">
      <c r="C1245" s="9">
        <v>4854499</v>
      </c>
      <c r="F1245" s="9">
        <f t="shared" si="41"/>
        <v>10901</v>
      </c>
      <c r="H1245" s="11">
        <v>4865400</v>
      </c>
      <c r="I1245" s="11"/>
      <c r="J1245" s="11"/>
      <c r="K1245" s="9">
        <v>995</v>
      </c>
      <c r="L1245" s="9">
        <v>36504</v>
      </c>
      <c r="M1245" s="114" t="s">
        <v>308</v>
      </c>
      <c r="N1245" s="9" t="s">
        <v>96</v>
      </c>
      <c r="O1245" s="10" t="s">
        <v>309</v>
      </c>
    </row>
    <row r="1246" spans="3:15" s="9" customFormat="1" ht="12.75">
      <c r="C1246" s="9">
        <v>4854501</v>
      </c>
      <c r="F1246" s="9">
        <f t="shared" si="41"/>
        <v>10901</v>
      </c>
      <c r="H1246" s="11">
        <v>4865402</v>
      </c>
      <c r="I1246" s="11"/>
      <c r="J1246" s="11"/>
      <c r="K1246" s="9">
        <v>995</v>
      </c>
      <c r="L1246" s="9">
        <v>36506</v>
      </c>
      <c r="M1246" s="114" t="s">
        <v>308</v>
      </c>
      <c r="N1246" s="9" t="s">
        <v>171</v>
      </c>
      <c r="O1246" s="10">
        <v>2008</v>
      </c>
    </row>
    <row r="1247" spans="3:15" s="9" customFormat="1" ht="12.75">
      <c r="C1247" s="9">
        <v>4854502</v>
      </c>
      <c r="F1247" s="9">
        <f t="shared" si="41"/>
        <v>10901</v>
      </c>
      <c r="H1247" s="11">
        <v>4865403</v>
      </c>
      <c r="I1247" s="11"/>
      <c r="J1247" s="11"/>
      <c r="M1247" s="114" t="s">
        <v>308</v>
      </c>
      <c r="N1247" s="9" t="s">
        <v>171</v>
      </c>
      <c r="O1247" s="10">
        <v>2008</v>
      </c>
    </row>
    <row r="1248" spans="3:15" s="9" customFormat="1" ht="12.75">
      <c r="C1248" s="198">
        <v>4854503</v>
      </c>
      <c r="F1248" s="198">
        <f t="shared" si="41"/>
        <v>10901</v>
      </c>
      <c r="H1248" s="11">
        <v>4865404</v>
      </c>
      <c r="I1248" s="11"/>
      <c r="J1248" s="11"/>
      <c r="M1248" s="114" t="s">
        <v>308</v>
      </c>
      <c r="N1248" s="9" t="s">
        <v>171</v>
      </c>
      <c r="O1248" s="10">
        <v>2012</v>
      </c>
    </row>
    <row r="1249" spans="3:15" s="9" customFormat="1" ht="12.75">
      <c r="C1249" s="9">
        <v>4854507</v>
      </c>
      <c r="F1249" s="9">
        <f t="shared" si="41"/>
        <v>10901</v>
      </c>
      <c r="H1249" s="11">
        <v>4865408</v>
      </c>
      <c r="I1249" s="11"/>
      <c r="J1249" s="11"/>
      <c r="M1249" s="114"/>
      <c r="O1249" s="10" t="s">
        <v>164</v>
      </c>
    </row>
    <row r="1250" spans="3:15" s="9" customFormat="1" ht="12.75">
      <c r="C1250" s="10">
        <v>4854511</v>
      </c>
      <c r="F1250" s="9">
        <v>10901</v>
      </c>
      <c r="H1250" s="223">
        <v>4865412</v>
      </c>
      <c r="K1250" s="9">
        <v>995</v>
      </c>
      <c r="L1250" s="9">
        <v>36516</v>
      </c>
      <c r="M1250" s="10">
        <v>1977</v>
      </c>
      <c r="N1250" s="9" t="s">
        <v>96</v>
      </c>
      <c r="O1250" s="10">
        <v>2010</v>
      </c>
    </row>
    <row r="1251" spans="3:15" s="9" customFormat="1" ht="12.75">
      <c r="C1251" s="10">
        <v>4864513</v>
      </c>
      <c r="F1251" s="9">
        <v>10901</v>
      </c>
      <c r="H1251" s="223">
        <v>4865414</v>
      </c>
      <c r="K1251" s="198">
        <v>995</v>
      </c>
      <c r="L1251" s="198">
        <v>36518</v>
      </c>
      <c r="M1251" s="13" t="s">
        <v>308</v>
      </c>
      <c r="N1251" s="198" t="s">
        <v>96</v>
      </c>
      <c r="O1251" s="10">
        <v>2011</v>
      </c>
    </row>
    <row r="1252" spans="2:15" s="9" customFormat="1" ht="12.75">
      <c r="B1252" s="48">
        <v>709</v>
      </c>
      <c r="C1252" s="10">
        <v>4854515</v>
      </c>
      <c r="F1252" s="9">
        <f aca="true" t="shared" si="42" ref="F1252:F1288">H1252-C1252</f>
        <v>10901</v>
      </c>
      <c r="H1252" s="11">
        <v>4865416</v>
      </c>
      <c r="I1252" s="11"/>
      <c r="J1252" s="11"/>
      <c r="K1252" s="9">
        <f>1515-520</f>
        <v>995</v>
      </c>
      <c r="L1252" s="9">
        <v>36520</v>
      </c>
      <c r="M1252" s="10">
        <v>1977</v>
      </c>
      <c r="N1252" s="9" t="s">
        <v>96</v>
      </c>
      <c r="O1252" s="10">
        <v>2008</v>
      </c>
    </row>
    <row r="1253" spans="2:15" s="9" customFormat="1" ht="12.75">
      <c r="B1253" s="48"/>
      <c r="C1253" s="10">
        <v>4854519</v>
      </c>
      <c r="F1253" s="9">
        <f t="shared" si="42"/>
        <v>10901</v>
      </c>
      <c r="H1253" s="11">
        <v>4865420</v>
      </c>
      <c r="I1253" s="11"/>
      <c r="J1253" s="11"/>
      <c r="K1253" s="9">
        <f>1519-524</f>
        <v>995</v>
      </c>
      <c r="L1253" s="9">
        <v>36524</v>
      </c>
      <c r="M1253" s="10">
        <v>1977</v>
      </c>
      <c r="N1253" s="9" t="s">
        <v>96</v>
      </c>
      <c r="O1253" s="10" t="s">
        <v>310</v>
      </c>
    </row>
    <row r="1254" spans="3:15" s="9" customFormat="1" ht="12.75">
      <c r="C1254" s="10">
        <v>4854520</v>
      </c>
      <c r="F1254" s="9">
        <f t="shared" si="42"/>
        <v>10901</v>
      </c>
      <c r="H1254" s="11">
        <v>4865421</v>
      </c>
      <c r="I1254" s="11"/>
      <c r="J1254" s="11"/>
      <c r="M1254" s="10">
        <v>1977</v>
      </c>
      <c r="N1254" s="9" t="s">
        <v>96</v>
      </c>
      <c r="O1254" s="10">
        <v>2008</v>
      </c>
    </row>
    <row r="1255" spans="3:15" s="9" customFormat="1" ht="12.75">
      <c r="C1255" s="10">
        <v>4854521</v>
      </c>
      <c r="F1255" s="9">
        <f t="shared" si="42"/>
        <v>10901</v>
      </c>
      <c r="H1255" s="11">
        <v>4865422</v>
      </c>
      <c r="I1255" s="11"/>
      <c r="J1255" s="11"/>
      <c r="M1255" s="13" t="s">
        <v>311</v>
      </c>
      <c r="N1255" s="9" t="s">
        <v>96</v>
      </c>
      <c r="O1255" s="10">
        <v>2008</v>
      </c>
    </row>
    <row r="1256" spans="3:15" s="9" customFormat="1" ht="12.75">
      <c r="C1256" s="9">
        <v>4854526</v>
      </c>
      <c r="F1256" s="9">
        <f t="shared" si="42"/>
        <v>10901</v>
      </c>
      <c r="H1256" s="11">
        <v>4865427</v>
      </c>
      <c r="I1256" s="11"/>
      <c r="J1256" s="11"/>
      <c r="K1256" s="9">
        <v>995</v>
      </c>
      <c r="L1256" s="9">
        <v>36531</v>
      </c>
      <c r="M1256" s="10">
        <v>1977</v>
      </c>
      <c r="N1256" s="9" t="s">
        <v>96</v>
      </c>
      <c r="O1256" s="10">
        <v>2005</v>
      </c>
    </row>
    <row r="1257" spans="3:15" s="9" customFormat="1" ht="12.75">
      <c r="C1257" s="9">
        <v>4854528</v>
      </c>
      <c r="F1257" s="9">
        <f t="shared" si="42"/>
        <v>10901</v>
      </c>
      <c r="H1257" s="11">
        <v>4865429</v>
      </c>
      <c r="I1257" s="11"/>
      <c r="J1257" s="11"/>
      <c r="K1257" s="9">
        <v>995</v>
      </c>
      <c r="L1257" s="9">
        <v>36533</v>
      </c>
      <c r="M1257" s="10">
        <v>1977</v>
      </c>
      <c r="N1257" s="9" t="s">
        <v>96</v>
      </c>
      <c r="O1257" s="10">
        <v>2003</v>
      </c>
    </row>
    <row r="1258" spans="3:15" s="9" customFormat="1" ht="12.75">
      <c r="C1258" s="10">
        <v>4854534</v>
      </c>
      <c r="F1258" s="126">
        <f t="shared" si="42"/>
        <v>10516</v>
      </c>
      <c r="G1258" s="10" t="s">
        <v>312</v>
      </c>
      <c r="H1258" s="129">
        <v>4865050</v>
      </c>
      <c r="I1258" s="129"/>
      <c r="J1258" s="129"/>
      <c r="K1258" s="9">
        <v>995</v>
      </c>
      <c r="L1258" s="9">
        <v>36539</v>
      </c>
      <c r="M1258" s="10">
        <v>1977</v>
      </c>
      <c r="N1258" s="9" t="s">
        <v>96</v>
      </c>
      <c r="O1258" s="10">
        <v>2002</v>
      </c>
    </row>
    <row r="1259" spans="3:15" s="9" customFormat="1" ht="12.75">
      <c r="C1259" s="10">
        <v>4854535</v>
      </c>
      <c r="F1259" s="9">
        <f t="shared" si="42"/>
        <v>10901</v>
      </c>
      <c r="G1259" s="10"/>
      <c r="H1259" s="70">
        <v>4865436</v>
      </c>
      <c r="I1259" s="70"/>
      <c r="J1259" s="70"/>
      <c r="K1259" s="9">
        <v>995</v>
      </c>
      <c r="L1259" s="9">
        <v>36540</v>
      </c>
      <c r="M1259" s="13" t="s">
        <v>311</v>
      </c>
      <c r="N1259" s="9" t="s">
        <v>96</v>
      </c>
      <c r="O1259" s="10">
        <v>2008</v>
      </c>
    </row>
    <row r="1260" spans="3:15" s="9" customFormat="1" ht="12.75">
      <c r="C1260" s="10">
        <v>4854537</v>
      </c>
      <c r="F1260" s="9">
        <f t="shared" si="42"/>
        <v>10901</v>
      </c>
      <c r="G1260" s="10"/>
      <c r="H1260" s="11">
        <v>4865438</v>
      </c>
      <c r="I1260" s="11"/>
      <c r="J1260" s="11"/>
      <c r="K1260" s="9">
        <v>995</v>
      </c>
      <c r="L1260" s="9">
        <v>36542</v>
      </c>
      <c r="M1260" s="10">
        <v>1977</v>
      </c>
      <c r="N1260" s="9" t="s">
        <v>96</v>
      </c>
      <c r="O1260" s="10">
        <v>2008</v>
      </c>
    </row>
    <row r="1261" spans="3:15" s="9" customFormat="1" ht="12.75">
      <c r="C1261" s="10">
        <v>4854538</v>
      </c>
      <c r="F1261" s="9">
        <f t="shared" si="42"/>
        <v>10901</v>
      </c>
      <c r="G1261" s="10"/>
      <c r="H1261" s="11">
        <v>4865439</v>
      </c>
      <c r="I1261" s="11"/>
      <c r="J1261" s="11"/>
      <c r="M1261" s="13" t="s">
        <v>313</v>
      </c>
      <c r="N1261" s="9" t="s">
        <v>214</v>
      </c>
      <c r="O1261" s="10">
        <v>2008</v>
      </c>
    </row>
    <row r="1262" spans="3:15" s="9" customFormat="1" ht="12.75">
      <c r="C1262" s="10">
        <v>4854542</v>
      </c>
      <c r="F1262" s="9">
        <f t="shared" si="42"/>
        <v>10901</v>
      </c>
      <c r="H1262" s="11">
        <v>4865443</v>
      </c>
      <c r="I1262" s="11"/>
      <c r="J1262" s="11"/>
      <c r="M1262" s="10"/>
      <c r="O1262" s="10">
        <v>2006</v>
      </c>
    </row>
    <row r="1263" spans="3:15" s="9" customFormat="1" ht="12.75">
      <c r="C1263" s="9">
        <v>4854543</v>
      </c>
      <c r="F1263" s="9">
        <f t="shared" si="42"/>
        <v>10901</v>
      </c>
      <c r="H1263" s="11">
        <v>4865444</v>
      </c>
      <c r="I1263" s="11"/>
      <c r="J1263" s="11"/>
      <c r="K1263" s="9">
        <v>995</v>
      </c>
      <c r="L1263" s="9">
        <v>36548</v>
      </c>
      <c r="M1263" s="10">
        <v>1977</v>
      </c>
      <c r="N1263" s="9" t="s">
        <v>96</v>
      </c>
      <c r="O1263" s="10">
        <v>2007</v>
      </c>
    </row>
    <row r="1264" spans="3:15" s="9" customFormat="1" ht="12.75">
      <c r="C1264" s="208">
        <v>4854545</v>
      </c>
      <c r="F1264" s="198">
        <f t="shared" si="42"/>
        <v>10901</v>
      </c>
      <c r="H1264" s="11">
        <v>4865446</v>
      </c>
      <c r="I1264" s="11"/>
      <c r="J1264" s="11"/>
      <c r="K1264" s="198">
        <v>995</v>
      </c>
      <c r="L1264" s="198">
        <v>36550</v>
      </c>
      <c r="M1264" s="10">
        <v>1977</v>
      </c>
      <c r="N1264" s="198" t="s">
        <v>96</v>
      </c>
      <c r="O1264" s="10">
        <v>2014</v>
      </c>
    </row>
    <row r="1265" spans="3:15" s="9" customFormat="1" ht="12.75">
      <c r="C1265" s="9">
        <v>4854552</v>
      </c>
      <c r="F1265" s="9">
        <f t="shared" si="42"/>
        <v>10901</v>
      </c>
      <c r="H1265" s="11">
        <v>4865453</v>
      </c>
      <c r="I1265" s="11"/>
      <c r="J1265" s="11"/>
      <c r="K1265" s="198">
        <v>995</v>
      </c>
      <c r="L1265" s="198">
        <v>36557</v>
      </c>
      <c r="M1265" s="13" t="s">
        <v>313</v>
      </c>
      <c r="N1265" s="198" t="s">
        <v>214</v>
      </c>
      <c r="O1265" s="10" t="s">
        <v>222</v>
      </c>
    </row>
    <row r="1266" spans="3:15" s="9" customFormat="1" ht="12.75">
      <c r="C1266" s="208">
        <v>4854553</v>
      </c>
      <c r="F1266" s="198">
        <f t="shared" si="42"/>
        <v>10901</v>
      </c>
      <c r="H1266" s="11">
        <v>4865454</v>
      </c>
      <c r="I1266" s="11"/>
      <c r="J1266" s="11"/>
      <c r="K1266" s="9">
        <v>995</v>
      </c>
      <c r="L1266" s="9">
        <v>36558</v>
      </c>
      <c r="M1266" s="10">
        <v>1977</v>
      </c>
      <c r="N1266" s="198" t="s">
        <v>96</v>
      </c>
      <c r="O1266" s="10">
        <v>2010</v>
      </c>
    </row>
    <row r="1267" spans="3:15" s="9" customFormat="1" ht="12.75">
      <c r="C1267" s="208">
        <v>4854554</v>
      </c>
      <c r="F1267" s="198">
        <f t="shared" si="42"/>
        <v>10901</v>
      </c>
      <c r="H1267" s="11">
        <v>4865455</v>
      </c>
      <c r="I1267" s="11"/>
      <c r="J1267" s="11"/>
      <c r="M1267" s="13" t="s">
        <v>313</v>
      </c>
      <c r="N1267" s="230" t="s">
        <v>167</v>
      </c>
      <c r="O1267" s="10">
        <v>2010</v>
      </c>
    </row>
    <row r="1268" spans="3:15" s="9" customFormat="1" ht="12.75">
      <c r="C1268" s="9">
        <v>4854558</v>
      </c>
      <c r="F1268" s="9">
        <f t="shared" si="42"/>
        <v>10901</v>
      </c>
      <c r="H1268" s="11">
        <v>4865459</v>
      </c>
      <c r="I1268" s="11"/>
      <c r="J1268" s="11"/>
      <c r="L1268" s="265">
        <v>36563</v>
      </c>
      <c r="M1268" s="10">
        <v>1978</v>
      </c>
      <c r="N1268" s="9" t="s">
        <v>171</v>
      </c>
      <c r="O1268" s="10" t="s">
        <v>314</v>
      </c>
    </row>
    <row r="1269" spans="3:15" s="9" customFormat="1" ht="12.75">
      <c r="C1269" s="198">
        <v>4854563</v>
      </c>
      <c r="F1269" s="198">
        <f t="shared" si="42"/>
        <v>10901</v>
      </c>
      <c r="H1269" s="11">
        <v>4865464</v>
      </c>
      <c r="I1269" s="11"/>
      <c r="J1269" s="11"/>
      <c r="K1269" s="9">
        <f>1563-568</f>
        <v>995</v>
      </c>
      <c r="L1269" s="9">
        <v>36568</v>
      </c>
      <c r="M1269" s="10">
        <v>1978</v>
      </c>
      <c r="N1269" s="198" t="s">
        <v>96</v>
      </c>
      <c r="O1269" s="10">
        <v>2010</v>
      </c>
    </row>
    <row r="1270" spans="3:15" s="9" customFormat="1" ht="12.75">
      <c r="C1270" s="198">
        <v>4854566</v>
      </c>
      <c r="F1270" s="198">
        <f t="shared" si="42"/>
        <v>10901</v>
      </c>
      <c r="H1270" s="11">
        <v>4865467</v>
      </c>
      <c r="I1270" s="11"/>
      <c r="J1270" s="11"/>
      <c r="M1270" s="13" t="s">
        <v>315</v>
      </c>
      <c r="N1270" s="198" t="s">
        <v>171</v>
      </c>
      <c r="O1270" s="10">
        <v>2010</v>
      </c>
    </row>
    <row r="1271" spans="3:15" s="9" customFormat="1" ht="12.75">
      <c r="C1271" s="198">
        <v>4854568</v>
      </c>
      <c r="F1271" s="198">
        <f t="shared" si="42"/>
        <v>10901</v>
      </c>
      <c r="H1271" s="11">
        <v>4865469</v>
      </c>
      <c r="I1271" s="11"/>
      <c r="J1271" s="11"/>
      <c r="M1271" s="13" t="s">
        <v>315</v>
      </c>
      <c r="N1271" s="198" t="s">
        <v>96</v>
      </c>
      <c r="O1271" s="10">
        <v>2010</v>
      </c>
    </row>
    <row r="1272" spans="3:15" s="9" customFormat="1" ht="12.75">
      <c r="C1272" s="198">
        <v>4854570</v>
      </c>
      <c r="F1272" s="198">
        <f t="shared" si="42"/>
        <v>10901</v>
      </c>
      <c r="H1272" s="11">
        <v>4865471</v>
      </c>
      <c r="I1272" s="11"/>
      <c r="J1272" s="11"/>
      <c r="M1272" s="13" t="s">
        <v>315</v>
      </c>
      <c r="N1272" s="198" t="s">
        <v>96</v>
      </c>
      <c r="O1272" s="10">
        <v>2011</v>
      </c>
    </row>
    <row r="1273" spans="3:15" s="9" customFormat="1" ht="12.75">
      <c r="C1273" s="198">
        <v>4854577</v>
      </c>
      <c r="F1273" s="198">
        <f t="shared" si="42"/>
        <v>10901</v>
      </c>
      <c r="H1273" s="11">
        <v>4865478</v>
      </c>
      <c r="I1273" s="11"/>
      <c r="J1273" s="11"/>
      <c r="M1273" s="13" t="s">
        <v>316</v>
      </c>
      <c r="N1273" s="198" t="s">
        <v>171</v>
      </c>
      <c r="O1273" s="10">
        <v>2010</v>
      </c>
    </row>
    <row r="1274" spans="3:15" s="9" customFormat="1" ht="12.75">
      <c r="C1274" s="9">
        <v>4854579</v>
      </c>
      <c r="F1274" s="9">
        <f t="shared" si="42"/>
        <v>10901</v>
      </c>
      <c r="H1274" s="11">
        <v>4865480</v>
      </c>
      <c r="I1274" s="11"/>
      <c r="J1274" s="11"/>
      <c r="M1274" s="10"/>
      <c r="O1274" s="10" t="s">
        <v>164</v>
      </c>
    </row>
    <row r="1275" spans="3:15" s="9" customFormat="1" ht="12.75">
      <c r="C1275" s="9">
        <v>4854581</v>
      </c>
      <c r="F1275" s="9">
        <f t="shared" si="42"/>
        <v>10901</v>
      </c>
      <c r="H1275" s="11">
        <v>4865482</v>
      </c>
      <c r="I1275" s="11"/>
      <c r="J1275" s="11"/>
      <c r="M1275" s="13" t="s">
        <v>316</v>
      </c>
      <c r="N1275" s="9" t="s">
        <v>171</v>
      </c>
      <c r="O1275" s="10">
        <v>2008</v>
      </c>
    </row>
    <row r="1276" spans="3:15" s="9" customFormat="1" ht="12.75">
      <c r="C1276" s="9">
        <v>4854584</v>
      </c>
      <c r="F1276" s="9">
        <f t="shared" si="42"/>
        <v>10901</v>
      </c>
      <c r="H1276" s="11">
        <v>4865485</v>
      </c>
      <c r="I1276" s="11"/>
      <c r="J1276" s="11"/>
      <c r="K1276" s="9">
        <v>995</v>
      </c>
      <c r="L1276" s="9">
        <v>36589</v>
      </c>
      <c r="M1276" s="13" t="s">
        <v>316</v>
      </c>
      <c r="N1276" s="9" t="s">
        <v>96</v>
      </c>
      <c r="O1276" s="10" t="s">
        <v>259</v>
      </c>
    </row>
    <row r="1277" spans="3:15" s="9" customFormat="1" ht="12.75">
      <c r="C1277" s="9">
        <v>4854587</v>
      </c>
      <c r="F1277" s="9">
        <f t="shared" si="42"/>
        <v>10901</v>
      </c>
      <c r="H1277" s="11">
        <v>4865488</v>
      </c>
      <c r="I1277" s="11"/>
      <c r="J1277" s="11"/>
      <c r="K1277" s="9">
        <f>1587-592</f>
        <v>995</v>
      </c>
      <c r="L1277" s="9">
        <v>36592</v>
      </c>
      <c r="M1277" s="10">
        <v>1978</v>
      </c>
      <c r="N1277" s="9" t="s">
        <v>96</v>
      </c>
      <c r="O1277" s="10">
        <v>2007</v>
      </c>
    </row>
    <row r="1278" spans="3:15" s="9" customFormat="1" ht="12.75">
      <c r="C1278" s="198">
        <v>4854589</v>
      </c>
      <c r="F1278" s="198">
        <f t="shared" si="42"/>
        <v>10901</v>
      </c>
      <c r="H1278" s="11">
        <v>4865490</v>
      </c>
      <c r="I1278" s="11"/>
      <c r="J1278" s="11"/>
      <c r="M1278" s="10">
        <v>1978</v>
      </c>
      <c r="N1278" s="198" t="s">
        <v>96</v>
      </c>
      <c r="O1278" s="10">
        <v>2016</v>
      </c>
    </row>
    <row r="1279" spans="3:15" s="9" customFormat="1" ht="12.75">
      <c r="C1279" s="198">
        <v>4854592</v>
      </c>
      <c r="F1279" s="198">
        <f t="shared" si="42"/>
        <v>10901</v>
      </c>
      <c r="H1279" s="11">
        <v>4865493</v>
      </c>
      <c r="I1279" s="11"/>
      <c r="J1279" s="11"/>
      <c r="M1279" s="10"/>
      <c r="O1279" s="10">
        <v>2012</v>
      </c>
    </row>
    <row r="1280" spans="3:15" s="9" customFormat="1" ht="12.75">
      <c r="C1280" s="9">
        <v>4854601</v>
      </c>
      <c r="F1280" s="9">
        <f t="shared" si="42"/>
        <v>10901</v>
      </c>
      <c r="H1280" s="11">
        <v>4865502</v>
      </c>
      <c r="I1280" s="11"/>
      <c r="J1280" s="11"/>
      <c r="K1280" s="9">
        <v>995</v>
      </c>
      <c r="L1280" s="9">
        <v>36606</v>
      </c>
      <c r="M1280" s="10">
        <v>1978</v>
      </c>
      <c r="N1280" s="9" t="s">
        <v>96</v>
      </c>
      <c r="O1280" s="10">
        <v>2003</v>
      </c>
    </row>
    <row r="1281" spans="3:15" s="9" customFormat="1" ht="12.75">
      <c r="C1281" s="9">
        <v>4854603</v>
      </c>
      <c r="E1281" s="9">
        <v>4860504</v>
      </c>
      <c r="F1281" s="9">
        <f t="shared" si="42"/>
        <v>10901</v>
      </c>
      <c r="H1281" s="11">
        <v>4865504</v>
      </c>
      <c r="I1281" s="11"/>
      <c r="J1281" s="11"/>
      <c r="M1281" s="10">
        <v>1978</v>
      </c>
      <c r="O1281" s="10">
        <v>2000</v>
      </c>
    </row>
    <row r="1282" spans="3:15" s="9" customFormat="1" ht="12.75">
      <c r="C1282" s="9">
        <v>4854609</v>
      </c>
      <c r="F1282" s="9">
        <f t="shared" si="42"/>
        <v>10901</v>
      </c>
      <c r="H1282" s="11">
        <v>4865510</v>
      </c>
      <c r="I1282" s="11"/>
      <c r="J1282" s="11"/>
      <c r="K1282" s="9">
        <f>1609-614</f>
        <v>995</v>
      </c>
      <c r="L1282" s="9">
        <v>36614</v>
      </c>
      <c r="M1282" s="13" t="s">
        <v>317</v>
      </c>
      <c r="N1282" s="9" t="s">
        <v>171</v>
      </c>
      <c r="O1282" s="10">
        <v>2008</v>
      </c>
    </row>
    <row r="1283" spans="3:15" s="9" customFormat="1" ht="12.75">
      <c r="C1283" s="9">
        <v>4854611</v>
      </c>
      <c r="F1283" s="9">
        <f t="shared" si="42"/>
        <v>10901</v>
      </c>
      <c r="H1283" s="11">
        <v>4865512</v>
      </c>
      <c r="I1283" s="11"/>
      <c r="J1283" s="11"/>
      <c r="M1283" s="10"/>
      <c r="O1283" s="10">
        <v>2004</v>
      </c>
    </row>
    <row r="1284" spans="3:15" s="9" customFormat="1" ht="12.75">
      <c r="C1284" s="9">
        <v>4854613</v>
      </c>
      <c r="E1284" s="9">
        <v>4860514</v>
      </c>
      <c r="F1284" s="9">
        <f t="shared" si="42"/>
        <v>10901</v>
      </c>
      <c r="H1284" s="11">
        <v>4865514</v>
      </c>
      <c r="I1284" s="11"/>
      <c r="J1284" s="11"/>
      <c r="M1284" s="10"/>
      <c r="O1284" s="10">
        <v>2004</v>
      </c>
    </row>
    <row r="1285" spans="3:15" s="9" customFormat="1" ht="12.75">
      <c r="C1285" s="198">
        <v>4854620</v>
      </c>
      <c r="F1285" s="198">
        <f t="shared" si="42"/>
        <v>10901</v>
      </c>
      <c r="H1285" s="11">
        <v>4865521</v>
      </c>
      <c r="I1285" s="11"/>
      <c r="J1285" s="11"/>
      <c r="M1285" s="13" t="s">
        <v>318</v>
      </c>
      <c r="N1285" s="9" t="s">
        <v>171</v>
      </c>
      <c r="O1285" s="10" t="s">
        <v>319</v>
      </c>
    </row>
    <row r="1286" spans="3:15" s="9" customFormat="1" ht="12.75">
      <c r="C1286" s="9">
        <v>4854623</v>
      </c>
      <c r="F1286" s="9">
        <f t="shared" si="42"/>
        <v>10901</v>
      </c>
      <c r="H1286" s="11">
        <v>4865524</v>
      </c>
      <c r="I1286" s="11"/>
      <c r="J1286" s="11"/>
      <c r="M1286" s="13" t="s">
        <v>318</v>
      </c>
      <c r="N1286" s="9" t="s">
        <v>171</v>
      </c>
      <c r="O1286" s="10">
        <v>2008</v>
      </c>
    </row>
    <row r="1287" spans="3:15" s="9" customFormat="1" ht="12.75">
      <c r="C1287" s="9">
        <v>4854631</v>
      </c>
      <c r="F1287" s="9">
        <f t="shared" si="42"/>
        <v>10901</v>
      </c>
      <c r="H1287" s="11">
        <v>4865532</v>
      </c>
      <c r="I1287" s="11"/>
      <c r="J1287" s="11"/>
      <c r="M1287" s="13" t="s">
        <v>320</v>
      </c>
      <c r="N1287" s="9" t="s">
        <v>171</v>
      </c>
      <c r="O1287" s="10">
        <v>2008</v>
      </c>
    </row>
    <row r="1288" spans="3:15" s="9" customFormat="1" ht="12.75">
      <c r="C1288" s="9">
        <v>4854635</v>
      </c>
      <c r="F1288" s="9">
        <f t="shared" si="42"/>
        <v>10901</v>
      </c>
      <c r="H1288" s="11">
        <v>4865536</v>
      </c>
      <c r="I1288" s="11"/>
      <c r="J1288" s="11"/>
      <c r="M1288" s="10">
        <v>1978</v>
      </c>
      <c r="N1288" s="9" t="s">
        <v>96</v>
      </c>
      <c r="O1288" s="10">
        <v>2008</v>
      </c>
    </row>
    <row r="1289" spans="3:15" s="2" customFormat="1" ht="13.5" thickBot="1">
      <c r="C1289" s="153" t="s">
        <v>321</v>
      </c>
      <c r="D1289" s="150"/>
      <c r="E1289" s="150"/>
      <c r="F1289" s="150"/>
      <c r="G1289" s="150"/>
      <c r="H1289" s="153" t="s">
        <v>322</v>
      </c>
      <c r="I1289" s="153"/>
      <c r="J1289" s="153"/>
      <c r="K1289" s="150"/>
      <c r="L1289" s="150">
        <v>36643</v>
      </c>
      <c r="M1289" s="153">
        <v>1978</v>
      </c>
      <c r="N1289" s="150" t="s">
        <v>96</v>
      </c>
      <c r="O1289" s="6"/>
    </row>
    <row r="1290" spans="3:15" s="9" customFormat="1" ht="12.75">
      <c r="C1290" s="149" t="s">
        <v>323</v>
      </c>
      <c r="D1290" s="148"/>
      <c r="E1290" s="148"/>
      <c r="F1290" s="148"/>
      <c r="G1290" s="148"/>
      <c r="H1290" s="149" t="s">
        <v>324</v>
      </c>
      <c r="I1290" s="149"/>
      <c r="J1290" s="149"/>
      <c r="K1290" s="148"/>
      <c r="L1290" s="143" t="s">
        <v>325</v>
      </c>
      <c r="M1290" s="149"/>
      <c r="N1290" s="148" t="s">
        <v>16</v>
      </c>
      <c r="O1290" s="10"/>
    </row>
    <row r="1291" spans="3:15" s="9" customFormat="1" ht="12.75">
      <c r="C1291" s="9">
        <v>4854642</v>
      </c>
      <c r="F1291" s="9">
        <f>H1291-C1291</f>
        <v>10901</v>
      </c>
      <c r="H1291" s="11">
        <v>4865543</v>
      </c>
      <c r="I1291" s="11"/>
      <c r="J1291" s="11"/>
      <c r="K1291" s="9">
        <f>642-414</f>
        <v>228</v>
      </c>
      <c r="L1291" s="9">
        <v>414</v>
      </c>
      <c r="M1291" s="10">
        <v>1977</v>
      </c>
      <c r="N1291" s="9" t="s">
        <v>16</v>
      </c>
      <c r="O1291" s="10">
        <v>2006</v>
      </c>
    </row>
    <row r="1292" spans="3:15" s="9" customFormat="1" ht="12.75">
      <c r="C1292" s="10" t="s">
        <v>326</v>
      </c>
      <c r="H1292" s="11">
        <v>4865547</v>
      </c>
      <c r="I1292" s="11"/>
      <c r="J1292" s="11"/>
      <c r="L1292" s="9">
        <v>418</v>
      </c>
      <c r="M1292" s="10">
        <v>1977</v>
      </c>
      <c r="N1292" s="9" t="s">
        <v>16</v>
      </c>
      <c r="O1292" s="10">
        <v>2008</v>
      </c>
    </row>
    <row r="1293" spans="3:15" s="9" customFormat="1" ht="12.75">
      <c r="C1293" s="10">
        <v>4854649</v>
      </c>
      <c r="F1293" s="9">
        <f>H1293-C1293</f>
        <v>10901</v>
      </c>
      <c r="H1293" s="11">
        <v>4865550</v>
      </c>
      <c r="I1293" s="11"/>
      <c r="J1293" s="11"/>
      <c r="K1293" s="9">
        <v>228</v>
      </c>
      <c r="L1293" s="198">
        <v>421</v>
      </c>
      <c r="M1293" s="10">
        <v>1977</v>
      </c>
      <c r="N1293" s="198" t="s">
        <v>16</v>
      </c>
      <c r="O1293" s="10">
        <v>2010</v>
      </c>
    </row>
    <row r="1294" spans="3:15" s="9" customFormat="1" ht="12.75">
      <c r="C1294" s="10"/>
      <c r="H1294" s="11">
        <v>4865557</v>
      </c>
      <c r="I1294" s="11"/>
      <c r="J1294" s="11"/>
      <c r="L1294" s="9">
        <v>428</v>
      </c>
      <c r="M1294" s="10">
        <v>1977</v>
      </c>
      <c r="N1294" s="9" t="s">
        <v>16</v>
      </c>
      <c r="O1294" s="10">
        <v>2008</v>
      </c>
    </row>
    <row r="1295" spans="3:15" s="9" customFormat="1" ht="12.75">
      <c r="C1295" s="10">
        <v>4854661</v>
      </c>
      <c r="F1295" s="9">
        <v>10901</v>
      </c>
      <c r="H1295" s="11">
        <v>4865562</v>
      </c>
      <c r="I1295" s="11"/>
      <c r="J1295" s="11"/>
      <c r="K1295" s="9">
        <v>228</v>
      </c>
      <c r="L1295" s="198">
        <v>433</v>
      </c>
      <c r="M1295" s="10">
        <v>1977</v>
      </c>
      <c r="N1295" s="198" t="s">
        <v>16</v>
      </c>
      <c r="O1295" s="10">
        <v>2010</v>
      </c>
    </row>
    <row r="1296" spans="3:15" s="9" customFormat="1" ht="12.75">
      <c r="C1296" s="9">
        <v>4854662</v>
      </c>
      <c r="F1296" s="9">
        <f>H1296-C1296</f>
        <v>10901</v>
      </c>
      <c r="H1296" s="11">
        <v>4865563</v>
      </c>
      <c r="I1296" s="11"/>
      <c r="J1296" s="11"/>
      <c r="K1296" s="9">
        <v>228</v>
      </c>
      <c r="L1296" s="9">
        <v>434</v>
      </c>
      <c r="M1296" s="10">
        <v>1977</v>
      </c>
      <c r="N1296" s="9" t="s">
        <v>16</v>
      </c>
      <c r="O1296" s="10">
        <v>2008</v>
      </c>
    </row>
    <row r="1297" spans="3:15" s="9" customFormat="1" ht="12.75">
      <c r="C1297" s="10" t="s">
        <v>327</v>
      </c>
      <c r="H1297" s="9">
        <v>4865564</v>
      </c>
      <c r="L1297" s="9">
        <v>435</v>
      </c>
      <c r="M1297" s="10">
        <v>1977</v>
      </c>
      <c r="N1297" s="9" t="s">
        <v>16</v>
      </c>
      <c r="O1297" s="10"/>
    </row>
    <row r="1298" spans="3:15" s="9" customFormat="1" ht="12.75">
      <c r="C1298" s="10">
        <v>4854667</v>
      </c>
      <c r="F1298" s="9">
        <v>10901</v>
      </c>
      <c r="H1298" s="201">
        <v>4865568</v>
      </c>
      <c r="K1298" s="198">
        <v>228</v>
      </c>
      <c r="L1298" s="198">
        <v>439</v>
      </c>
      <c r="M1298" s="10">
        <v>1977</v>
      </c>
      <c r="N1298" s="198" t="s">
        <v>16</v>
      </c>
      <c r="O1298" s="10">
        <v>2010</v>
      </c>
    </row>
    <row r="1299" spans="3:15" s="9" customFormat="1" ht="12.75">
      <c r="C1299" s="10">
        <v>4854676</v>
      </c>
      <c r="F1299" s="9">
        <f aca="true" t="shared" si="43" ref="F1299:F1308">H1299-C1299</f>
        <v>10901</v>
      </c>
      <c r="H1299" s="11">
        <v>4865577</v>
      </c>
      <c r="I1299" s="11"/>
      <c r="J1299" s="11"/>
      <c r="K1299" s="9">
        <f>676-448</f>
        <v>228</v>
      </c>
      <c r="L1299" s="9">
        <v>448</v>
      </c>
      <c r="M1299" s="10">
        <v>1977</v>
      </c>
      <c r="N1299" s="9" t="s">
        <v>16</v>
      </c>
      <c r="O1299" s="10">
        <v>2008</v>
      </c>
    </row>
    <row r="1300" spans="3:15" s="9" customFormat="1" ht="12.75">
      <c r="C1300" s="10">
        <v>4854678</v>
      </c>
      <c r="F1300" s="9">
        <f t="shared" si="43"/>
        <v>10901</v>
      </c>
      <c r="H1300" s="11">
        <v>4865579</v>
      </c>
      <c r="I1300" s="11"/>
      <c r="J1300" s="11"/>
      <c r="K1300" s="9">
        <v>228</v>
      </c>
      <c r="L1300" s="9">
        <v>450</v>
      </c>
      <c r="M1300" s="10">
        <v>1977</v>
      </c>
      <c r="N1300" s="9" t="s">
        <v>16</v>
      </c>
      <c r="O1300" s="10">
        <v>2008</v>
      </c>
    </row>
    <row r="1301" spans="3:15" s="9" customFormat="1" ht="12.75">
      <c r="C1301" s="10">
        <v>4854678</v>
      </c>
      <c r="F1301" s="9">
        <f t="shared" si="43"/>
        <v>10911</v>
      </c>
      <c r="H1301" s="11">
        <v>4865589</v>
      </c>
      <c r="I1301" s="11"/>
      <c r="J1301" s="11"/>
      <c r="K1301" s="9">
        <v>228</v>
      </c>
      <c r="L1301" s="9">
        <v>450</v>
      </c>
      <c r="M1301" s="10">
        <v>1977</v>
      </c>
      <c r="N1301" s="9" t="s">
        <v>16</v>
      </c>
      <c r="O1301" s="10">
        <v>2008</v>
      </c>
    </row>
    <row r="1302" spans="3:15" s="9" customFormat="1" ht="12.75">
      <c r="C1302" s="10">
        <v>4854680</v>
      </c>
      <c r="F1302" s="9">
        <f t="shared" si="43"/>
        <v>10901</v>
      </c>
      <c r="H1302" s="11">
        <v>4865581</v>
      </c>
      <c r="I1302" s="11"/>
      <c r="J1302" s="11"/>
      <c r="K1302" s="9">
        <v>228</v>
      </c>
      <c r="L1302" s="9">
        <v>452</v>
      </c>
      <c r="M1302" s="10">
        <v>1977</v>
      </c>
      <c r="N1302" s="9" t="s">
        <v>16</v>
      </c>
      <c r="O1302" s="10">
        <v>2008</v>
      </c>
    </row>
    <row r="1303" spans="3:16" s="9" customFormat="1" ht="12.75">
      <c r="C1303" s="9">
        <v>4854683</v>
      </c>
      <c r="E1303" s="9">
        <v>4860584</v>
      </c>
      <c r="F1303" s="9">
        <f t="shared" si="43"/>
        <v>10901</v>
      </c>
      <c r="H1303" s="11">
        <v>4865584</v>
      </c>
      <c r="I1303" s="11"/>
      <c r="J1303" s="11"/>
      <c r="K1303" s="9">
        <f>683-455</f>
        <v>228</v>
      </c>
      <c r="L1303" s="9">
        <v>455</v>
      </c>
      <c r="M1303" s="10">
        <v>1977</v>
      </c>
      <c r="N1303" s="9" t="s">
        <v>16</v>
      </c>
      <c r="O1303" s="10">
        <v>2005</v>
      </c>
      <c r="P1303" s="9">
        <v>2008</v>
      </c>
    </row>
    <row r="1304" spans="3:15" s="9" customFormat="1" ht="12.75">
      <c r="C1304" s="9">
        <v>4854684</v>
      </c>
      <c r="F1304" s="9">
        <f t="shared" si="43"/>
        <v>10901</v>
      </c>
      <c r="H1304" s="11">
        <v>4865585</v>
      </c>
      <c r="I1304" s="11"/>
      <c r="J1304" s="11"/>
      <c r="K1304" s="9">
        <v>228</v>
      </c>
      <c r="L1304" s="9">
        <v>456</v>
      </c>
      <c r="M1304" s="10">
        <v>1977</v>
      </c>
      <c r="N1304" s="9" t="s">
        <v>16</v>
      </c>
      <c r="O1304" s="10">
        <v>2009</v>
      </c>
    </row>
    <row r="1305" spans="3:15" s="9" customFormat="1" ht="12.75">
      <c r="C1305" s="9">
        <v>4854694</v>
      </c>
      <c r="F1305" s="9">
        <f t="shared" si="43"/>
        <v>10901</v>
      </c>
      <c r="H1305" s="11">
        <v>4865595</v>
      </c>
      <c r="I1305" s="11"/>
      <c r="J1305" s="11"/>
      <c r="M1305" s="10"/>
      <c r="O1305" s="10" t="s">
        <v>164</v>
      </c>
    </row>
    <row r="1306" spans="3:15" s="9" customFormat="1" ht="12.75">
      <c r="C1306" s="9">
        <v>4854695</v>
      </c>
      <c r="F1306" s="9">
        <f t="shared" si="43"/>
        <v>10901</v>
      </c>
      <c r="H1306" s="11">
        <v>4865596</v>
      </c>
      <c r="I1306" s="11"/>
      <c r="J1306" s="11"/>
      <c r="K1306" s="9">
        <f>695-467</f>
        <v>228</v>
      </c>
      <c r="L1306" s="9">
        <v>467</v>
      </c>
      <c r="M1306" s="10">
        <v>1977</v>
      </c>
      <c r="N1306" s="9" t="s">
        <v>16</v>
      </c>
      <c r="O1306" s="10">
        <v>2008</v>
      </c>
    </row>
    <row r="1307" spans="3:15" s="9" customFormat="1" ht="12.75">
      <c r="C1307" s="198">
        <v>4854699</v>
      </c>
      <c r="F1307" s="198">
        <f t="shared" si="43"/>
        <v>10901</v>
      </c>
      <c r="H1307" s="11">
        <v>4865600</v>
      </c>
      <c r="I1307" s="11"/>
      <c r="J1307" s="11"/>
      <c r="K1307" s="9">
        <v>228</v>
      </c>
      <c r="L1307" s="198">
        <v>471</v>
      </c>
      <c r="M1307" s="10">
        <v>1977</v>
      </c>
      <c r="N1307" s="198" t="s">
        <v>16</v>
      </c>
      <c r="O1307" s="10">
        <v>2012</v>
      </c>
    </row>
    <row r="1308" spans="3:15" s="9" customFormat="1" ht="12.75">
      <c r="C1308" s="9">
        <v>4854702</v>
      </c>
      <c r="F1308" s="9">
        <f t="shared" si="43"/>
        <v>10901</v>
      </c>
      <c r="H1308" s="11">
        <v>4865603</v>
      </c>
      <c r="I1308" s="11"/>
      <c r="J1308" s="11"/>
      <c r="K1308" s="9">
        <f>683-455</f>
        <v>228</v>
      </c>
      <c r="L1308" s="9">
        <v>474</v>
      </c>
      <c r="M1308" s="10">
        <v>1977</v>
      </c>
      <c r="N1308" s="9" t="s">
        <v>16</v>
      </c>
      <c r="O1308" s="10">
        <v>2007</v>
      </c>
    </row>
    <row r="1309" spans="3:15" s="9" customFormat="1" ht="12.75">
      <c r="C1309" s="9">
        <v>4854703</v>
      </c>
      <c r="E1309" s="9">
        <v>4860604</v>
      </c>
      <c r="F1309" s="9">
        <v>10901</v>
      </c>
      <c r="H1309" s="9">
        <v>4865604</v>
      </c>
      <c r="K1309" s="9">
        <f>683-455</f>
        <v>228</v>
      </c>
      <c r="L1309" s="9">
        <v>475</v>
      </c>
      <c r="M1309" s="10">
        <v>1977</v>
      </c>
      <c r="N1309" s="9" t="s">
        <v>16</v>
      </c>
      <c r="O1309" s="10"/>
    </row>
    <row r="1310" spans="3:15" s="9" customFormat="1" ht="12.75">
      <c r="C1310" s="198">
        <v>4854704</v>
      </c>
      <c r="F1310" s="9">
        <f>H1310-C1310</f>
        <v>10901</v>
      </c>
      <c r="H1310" s="201">
        <v>4865605</v>
      </c>
      <c r="K1310" s="9">
        <v>228</v>
      </c>
      <c r="L1310" s="198">
        <v>476</v>
      </c>
      <c r="M1310" s="10">
        <v>1977</v>
      </c>
      <c r="N1310" s="198" t="s">
        <v>16</v>
      </c>
      <c r="O1310" s="10">
        <v>2010</v>
      </c>
    </row>
    <row r="1311" spans="3:15" s="9" customFormat="1" ht="12.75">
      <c r="C1311" s="198">
        <v>4854713</v>
      </c>
      <c r="F1311" s="198">
        <f>H1311-C1311</f>
        <v>10901</v>
      </c>
      <c r="H1311" s="201">
        <v>4865614</v>
      </c>
      <c r="L1311" s="198">
        <v>485</v>
      </c>
      <c r="M1311" s="10">
        <v>1977</v>
      </c>
      <c r="N1311" s="198" t="s">
        <v>16</v>
      </c>
      <c r="O1311" s="10">
        <v>2016</v>
      </c>
    </row>
    <row r="1312" spans="3:15" s="9" customFormat="1" ht="12.75">
      <c r="C1312" s="198">
        <v>4854714</v>
      </c>
      <c r="F1312" s="9">
        <f>H1312-C1312</f>
        <v>10901</v>
      </c>
      <c r="H1312" s="201">
        <v>4865615</v>
      </c>
      <c r="K1312" s="9">
        <v>228</v>
      </c>
      <c r="L1312" s="198">
        <v>486</v>
      </c>
      <c r="M1312" s="10">
        <v>1977</v>
      </c>
      <c r="N1312" s="198" t="s">
        <v>16</v>
      </c>
      <c r="O1312" s="10">
        <v>2012</v>
      </c>
    </row>
    <row r="1313" spans="3:15" s="9" customFormat="1" ht="12.75">
      <c r="C1313" s="9">
        <v>4854716</v>
      </c>
      <c r="F1313" s="9">
        <f>H1313-C1313</f>
        <v>10901</v>
      </c>
      <c r="H1313" s="11">
        <v>4865617</v>
      </c>
      <c r="I1313" s="11"/>
      <c r="J1313" s="11"/>
      <c r="K1313" s="9">
        <f>716-488</f>
        <v>228</v>
      </c>
      <c r="L1313" s="9">
        <v>488</v>
      </c>
      <c r="M1313" s="10">
        <v>1977</v>
      </c>
      <c r="N1313" s="9" t="s">
        <v>16</v>
      </c>
      <c r="O1313" s="10">
        <v>2008</v>
      </c>
    </row>
    <row r="1314" spans="3:15" s="9" customFormat="1" ht="12.75">
      <c r="C1314" s="198">
        <v>7854719</v>
      </c>
      <c r="F1314" s="9">
        <v>10901</v>
      </c>
      <c r="H1314" s="11">
        <v>4865620</v>
      </c>
      <c r="I1314" s="11"/>
      <c r="J1314" s="11"/>
      <c r="K1314" s="9">
        <v>228</v>
      </c>
      <c r="L1314" s="198">
        <v>491</v>
      </c>
      <c r="M1314" s="10">
        <v>1977</v>
      </c>
      <c r="N1314" s="198" t="s">
        <v>16</v>
      </c>
      <c r="O1314" s="10">
        <v>2010</v>
      </c>
    </row>
    <row r="1315" spans="3:15" s="9" customFormat="1" ht="12.75">
      <c r="C1315" s="9">
        <v>4854723</v>
      </c>
      <c r="F1315" s="9">
        <f>H1315-C1315</f>
        <v>10901</v>
      </c>
      <c r="H1315" s="11">
        <v>4865624</v>
      </c>
      <c r="I1315" s="11"/>
      <c r="J1315" s="11"/>
      <c r="K1315" s="9">
        <v>228</v>
      </c>
      <c r="L1315" s="9">
        <v>495</v>
      </c>
      <c r="M1315" s="10">
        <v>1977</v>
      </c>
      <c r="N1315" s="9" t="s">
        <v>16</v>
      </c>
      <c r="O1315" s="10">
        <v>2008</v>
      </c>
    </row>
    <row r="1316" spans="3:15" s="9" customFormat="1" ht="12.75">
      <c r="C1316" s="9">
        <v>4854724</v>
      </c>
      <c r="F1316" s="9">
        <f>H1316-C1316</f>
        <v>10901</v>
      </c>
      <c r="H1316" s="11">
        <v>4865625</v>
      </c>
      <c r="I1316" s="11"/>
      <c r="J1316" s="11"/>
      <c r="K1316" s="9">
        <f>683-455</f>
        <v>228</v>
      </c>
      <c r="L1316" s="9">
        <v>496</v>
      </c>
      <c r="M1316" s="10">
        <v>1977</v>
      </c>
      <c r="N1316" s="9" t="s">
        <v>16</v>
      </c>
      <c r="O1316" s="10" t="s">
        <v>328</v>
      </c>
    </row>
    <row r="1317" spans="3:15" s="9" customFormat="1" ht="12.75">
      <c r="C1317" s="9">
        <v>4854730</v>
      </c>
      <c r="F1317" s="9">
        <f>H1317-C1317</f>
        <v>10901</v>
      </c>
      <c r="H1317" s="11">
        <v>4865631</v>
      </c>
      <c r="I1317" s="11"/>
      <c r="J1317" s="11"/>
      <c r="M1317" s="10"/>
      <c r="O1317" s="10" t="s">
        <v>164</v>
      </c>
    </row>
    <row r="1318" spans="3:15" s="9" customFormat="1" ht="12.75">
      <c r="C1318" s="9">
        <v>4854731</v>
      </c>
      <c r="F1318" s="9">
        <f>H1318-C1318</f>
        <v>10901</v>
      </c>
      <c r="H1318" s="11">
        <v>4865632</v>
      </c>
      <c r="I1318" s="11"/>
      <c r="J1318" s="11"/>
      <c r="K1318" s="9">
        <v>228</v>
      </c>
      <c r="L1318" s="9">
        <v>503</v>
      </c>
      <c r="M1318" s="10">
        <v>1977</v>
      </c>
      <c r="N1318" s="9" t="s">
        <v>16</v>
      </c>
      <c r="O1318" s="10">
        <v>2009</v>
      </c>
    </row>
    <row r="1319" spans="3:15" s="9" customFormat="1" ht="12.75">
      <c r="C1319" s="9">
        <v>4854735</v>
      </c>
      <c r="F1319" s="9">
        <f>H1319-C1319</f>
        <v>10901</v>
      </c>
      <c r="H1319" s="11">
        <v>4865636</v>
      </c>
      <c r="I1319" s="11"/>
      <c r="J1319" s="11"/>
      <c r="K1319" s="9">
        <f>735-507</f>
        <v>228</v>
      </c>
      <c r="L1319" s="9">
        <v>507</v>
      </c>
      <c r="M1319" s="10">
        <v>1977</v>
      </c>
      <c r="N1319" s="9" t="s">
        <v>16</v>
      </c>
      <c r="O1319" s="10">
        <v>2008</v>
      </c>
    </row>
    <row r="1320" spans="3:15" s="9" customFormat="1" ht="12.75">
      <c r="C1320" s="9">
        <v>4854744</v>
      </c>
      <c r="F1320" s="9">
        <v>10901</v>
      </c>
      <c r="H1320" s="11">
        <v>4865645</v>
      </c>
      <c r="I1320" s="11"/>
      <c r="J1320" s="11"/>
      <c r="K1320" s="9">
        <v>228</v>
      </c>
      <c r="L1320" s="9">
        <v>516</v>
      </c>
      <c r="M1320" s="10">
        <v>1977</v>
      </c>
      <c r="N1320" s="9" t="s">
        <v>16</v>
      </c>
      <c r="O1320" s="10" t="s">
        <v>86</v>
      </c>
    </row>
    <row r="1321" spans="3:15" s="9" customFormat="1" ht="12.75">
      <c r="C1321" s="9">
        <v>4854745</v>
      </c>
      <c r="F1321" s="9">
        <f aca="true" t="shared" si="44" ref="F1321:F1335">H1321-C1321</f>
        <v>10901</v>
      </c>
      <c r="H1321" s="11">
        <v>4865646</v>
      </c>
      <c r="I1321" s="11"/>
      <c r="J1321" s="11"/>
      <c r="M1321" s="10"/>
      <c r="O1321" s="10">
        <v>2004</v>
      </c>
    </row>
    <row r="1322" spans="3:15" s="9" customFormat="1" ht="12.75">
      <c r="C1322" s="198">
        <v>4854746</v>
      </c>
      <c r="F1322" s="198">
        <f t="shared" si="44"/>
        <v>10901</v>
      </c>
      <c r="H1322" s="11">
        <v>4865647</v>
      </c>
      <c r="I1322" s="11"/>
      <c r="J1322" s="11"/>
      <c r="K1322" s="9">
        <v>228</v>
      </c>
      <c r="L1322" s="198">
        <v>518</v>
      </c>
      <c r="M1322" s="10">
        <v>1977</v>
      </c>
      <c r="N1322" s="198" t="s">
        <v>16</v>
      </c>
      <c r="O1322" s="10">
        <v>2010</v>
      </c>
    </row>
    <row r="1323" spans="3:15" s="9" customFormat="1" ht="12.75">
      <c r="C1323" s="9">
        <v>4854749</v>
      </c>
      <c r="F1323" s="9">
        <f t="shared" si="44"/>
        <v>10901</v>
      </c>
      <c r="H1323" s="11">
        <v>4865650</v>
      </c>
      <c r="I1323" s="11"/>
      <c r="J1323" s="11"/>
      <c r="K1323" s="9">
        <f>749-521</f>
        <v>228</v>
      </c>
      <c r="L1323" s="9">
        <v>521</v>
      </c>
      <c r="M1323" s="10">
        <v>1977</v>
      </c>
      <c r="N1323" s="9" t="s">
        <v>16</v>
      </c>
      <c r="O1323" s="10">
        <v>2008</v>
      </c>
    </row>
    <row r="1324" spans="3:15" s="9" customFormat="1" ht="12.75">
      <c r="C1324" s="9">
        <v>4854753</v>
      </c>
      <c r="F1324" s="9">
        <f t="shared" si="44"/>
        <v>10901</v>
      </c>
      <c r="H1324" s="11">
        <v>4865654</v>
      </c>
      <c r="I1324" s="11"/>
      <c r="J1324" s="11"/>
      <c r="K1324" s="9">
        <v>228</v>
      </c>
      <c r="L1324" s="9">
        <v>525</v>
      </c>
      <c r="M1324" s="10">
        <v>1977</v>
      </c>
      <c r="N1324" s="9" t="s">
        <v>16</v>
      </c>
      <c r="O1324" s="10">
        <v>2008</v>
      </c>
    </row>
    <row r="1325" spans="3:15" s="9" customFormat="1" ht="12.75">
      <c r="C1325" s="9">
        <v>4854754</v>
      </c>
      <c r="E1325" s="9">
        <v>4860655</v>
      </c>
      <c r="F1325" s="9">
        <f t="shared" si="44"/>
        <v>10901</v>
      </c>
      <c r="H1325" s="11">
        <v>4865655</v>
      </c>
      <c r="I1325" s="11"/>
      <c r="J1325" s="11"/>
      <c r="M1325" s="10">
        <v>1977</v>
      </c>
      <c r="O1325" s="10">
        <v>1997</v>
      </c>
    </row>
    <row r="1326" spans="3:15" s="9" customFormat="1" ht="12.75">
      <c r="C1326" s="198">
        <v>4854757</v>
      </c>
      <c r="F1326" s="198">
        <f t="shared" si="44"/>
        <v>10901</v>
      </c>
      <c r="H1326" s="11">
        <v>4865658</v>
      </c>
      <c r="I1326" s="11"/>
      <c r="J1326" s="11"/>
      <c r="K1326" s="9">
        <v>228</v>
      </c>
      <c r="L1326" s="198">
        <v>529</v>
      </c>
      <c r="M1326" s="10">
        <v>1977</v>
      </c>
      <c r="N1326" s="198" t="s">
        <v>16</v>
      </c>
      <c r="O1326" s="10">
        <v>2012</v>
      </c>
    </row>
    <row r="1327" spans="3:15" s="9" customFormat="1" ht="12.75">
      <c r="C1327" s="9">
        <v>4854761</v>
      </c>
      <c r="F1327" s="9">
        <f t="shared" si="44"/>
        <v>10901</v>
      </c>
      <c r="H1327" s="11">
        <v>4865662</v>
      </c>
      <c r="I1327" s="11"/>
      <c r="J1327" s="11"/>
      <c r="K1327" s="9">
        <f>761-533</f>
        <v>228</v>
      </c>
      <c r="L1327" s="9">
        <v>533</v>
      </c>
      <c r="M1327" s="10">
        <v>1977</v>
      </c>
      <c r="N1327" s="9" t="s">
        <v>16</v>
      </c>
      <c r="O1327" s="10">
        <v>2008</v>
      </c>
    </row>
    <row r="1328" spans="3:15" s="9" customFormat="1" ht="12.75">
      <c r="C1328" s="198">
        <v>4854766</v>
      </c>
      <c r="F1328" s="198">
        <f t="shared" si="44"/>
        <v>10901</v>
      </c>
      <c r="H1328" s="11">
        <v>4865667</v>
      </c>
      <c r="I1328" s="11"/>
      <c r="J1328" s="11"/>
      <c r="L1328" s="198">
        <v>538</v>
      </c>
      <c r="M1328" s="10">
        <v>1977</v>
      </c>
      <c r="N1328" s="198" t="s">
        <v>16</v>
      </c>
      <c r="O1328" s="10">
        <v>2020</v>
      </c>
    </row>
    <row r="1329" spans="2:15" s="9" customFormat="1" ht="12.75">
      <c r="B1329" s="9" t="s">
        <v>329</v>
      </c>
      <c r="C1329" s="9">
        <v>4854770</v>
      </c>
      <c r="F1329" s="9">
        <f t="shared" si="44"/>
        <v>10901</v>
      </c>
      <c r="H1329" s="11">
        <v>4865671</v>
      </c>
      <c r="I1329" s="11"/>
      <c r="J1329" s="11"/>
      <c r="K1329" s="9">
        <f>770-542</f>
        <v>228</v>
      </c>
      <c r="L1329" s="9">
        <v>542</v>
      </c>
      <c r="M1329" s="10">
        <v>1977</v>
      </c>
      <c r="N1329" s="9" t="s">
        <v>16</v>
      </c>
      <c r="O1329" s="10" t="s">
        <v>310</v>
      </c>
    </row>
    <row r="1330" spans="3:15" s="9" customFormat="1" ht="12.75">
      <c r="C1330" s="198">
        <v>4854776</v>
      </c>
      <c r="F1330" s="198">
        <f t="shared" si="44"/>
        <v>10901</v>
      </c>
      <c r="H1330" s="11">
        <v>4865677</v>
      </c>
      <c r="I1330" s="11"/>
      <c r="J1330" s="11"/>
      <c r="K1330" s="9">
        <v>228</v>
      </c>
      <c r="L1330" s="198">
        <v>548</v>
      </c>
      <c r="M1330" s="10">
        <v>1977</v>
      </c>
      <c r="N1330" s="198" t="s">
        <v>16</v>
      </c>
      <c r="O1330" s="10">
        <v>2012</v>
      </c>
    </row>
    <row r="1331" spans="3:15" s="9" customFormat="1" ht="12.75">
      <c r="C1331" s="9">
        <v>4854781</v>
      </c>
      <c r="F1331" s="9">
        <f t="shared" si="44"/>
        <v>10901</v>
      </c>
      <c r="H1331" s="11">
        <v>4865682</v>
      </c>
      <c r="I1331" s="11"/>
      <c r="J1331" s="11"/>
      <c r="K1331" s="9">
        <v>228</v>
      </c>
      <c r="L1331" s="9">
        <v>553</v>
      </c>
      <c r="M1331" s="10">
        <v>1977</v>
      </c>
      <c r="N1331" s="9" t="s">
        <v>16</v>
      </c>
      <c r="O1331" s="10">
        <v>2008</v>
      </c>
    </row>
    <row r="1332" spans="3:15" s="9" customFormat="1" ht="12.75">
      <c r="C1332" s="9">
        <v>4854785</v>
      </c>
      <c r="F1332" s="9">
        <f t="shared" si="44"/>
        <v>10901</v>
      </c>
      <c r="H1332" s="11">
        <v>4865686</v>
      </c>
      <c r="I1332" s="11"/>
      <c r="J1332" s="11"/>
      <c r="K1332" s="9">
        <f>785-557</f>
        <v>228</v>
      </c>
      <c r="L1332" s="9">
        <v>557</v>
      </c>
      <c r="M1332" s="10">
        <v>1977</v>
      </c>
      <c r="N1332" s="9" t="s">
        <v>16</v>
      </c>
      <c r="O1332" s="10">
        <v>2006</v>
      </c>
    </row>
    <row r="1333" spans="3:15" s="9" customFormat="1" ht="12.75">
      <c r="C1333" s="9">
        <v>4854790</v>
      </c>
      <c r="E1333" s="9">
        <v>4860691</v>
      </c>
      <c r="F1333" s="9">
        <f t="shared" si="44"/>
        <v>10901</v>
      </c>
      <c r="H1333" s="53">
        <v>4865691</v>
      </c>
      <c r="I1333" s="53"/>
      <c r="M1333" s="10">
        <v>1977</v>
      </c>
      <c r="O1333" s="10">
        <v>1995</v>
      </c>
    </row>
    <row r="1334" spans="3:15" s="9" customFormat="1" ht="12.75">
      <c r="C1334" s="9">
        <v>4854791</v>
      </c>
      <c r="F1334" s="9">
        <f t="shared" si="44"/>
        <v>10901</v>
      </c>
      <c r="H1334" s="11">
        <v>4865692</v>
      </c>
      <c r="I1334" s="11"/>
      <c r="J1334" s="11"/>
      <c r="K1334" s="9">
        <f>791-563</f>
        <v>228</v>
      </c>
      <c r="L1334" s="9">
        <v>563</v>
      </c>
      <c r="M1334" s="10">
        <v>1977</v>
      </c>
      <c r="N1334" s="9" t="s">
        <v>16</v>
      </c>
      <c r="O1334" s="10" t="s">
        <v>226</v>
      </c>
    </row>
    <row r="1335" spans="3:15" s="9" customFormat="1" ht="12.75">
      <c r="C1335" s="9">
        <v>4854793</v>
      </c>
      <c r="F1335" s="9">
        <f t="shared" si="44"/>
        <v>10901</v>
      </c>
      <c r="H1335" s="11">
        <v>4865694</v>
      </c>
      <c r="I1335" s="11"/>
      <c r="J1335" s="11"/>
      <c r="M1335" s="10">
        <v>1977</v>
      </c>
      <c r="N1335" s="9" t="s">
        <v>16</v>
      </c>
      <c r="O1335" s="10" t="s">
        <v>330</v>
      </c>
    </row>
    <row r="1336" spans="3:15" s="9" customFormat="1" ht="12.75">
      <c r="C1336" s="10" t="s">
        <v>331</v>
      </c>
      <c r="H1336" s="9">
        <v>4865695</v>
      </c>
      <c r="L1336" s="9">
        <v>566</v>
      </c>
      <c r="M1336" s="10">
        <v>1977</v>
      </c>
      <c r="N1336" s="9" t="s">
        <v>16</v>
      </c>
      <c r="O1336" s="10"/>
    </row>
    <row r="1337" spans="3:15" s="9" customFormat="1" ht="12.75">
      <c r="C1337" s="9">
        <v>4854795</v>
      </c>
      <c r="E1337" s="9">
        <v>4860696</v>
      </c>
      <c r="F1337" s="9">
        <f aca="true" t="shared" si="45" ref="F1337:F1358">H1337-C1337</f>
        <v>10901</v>
      </c>
      <c r="H1337" s="11">
        <v>4865696</v>
      </c>
      <c r="I1337" s="11"/>
      <c r="J1337" s="11"/>
      <c r="K1337" s="9">
        <v>228</v>
      </c>
      <c r="L1337" s="9">
        <v>567</v>
      </c>
      <c r="M1337" s="10">
        <v>1977</v>
      </c>
      <c r="N1337" s="9" t="s">
        <v>16</v>
      </c>
      <c r="O1337" s="13" t="s">
        <v>332</v>
      </c>
    </row>
    <row r="1338" spans="3:15" s="9" customFormat="1" ht="12.75">
      <c r="C1338" s="9">
        <v>4854799</v>
      </c>
      <c r="F1338" s="9">
        <f t="shared" si="45"/>
        <v>10901</v>
      </c>
      <c r="H1338" s="11">
        <v>4865700</v>
      </c>
      <c r="I1338" s="11"/>
      <c r="J1338" s="11"/>
      <c r="K1338" s="9">
        <v>228</v>
      </c>
      <c r="L1338" s="9">
        <v>571</v>
      </c>
      <c r="M1338" s="10">
        <v>1977</v>
      </c>
      <c r="N1338" s="9" t="s">
        <v>16</v>
      </c>
      <c r="O1338" s="13">
        <v>2008</v>
      </c>
    </row>
    <row r="1339" spans="3:15" s="9" customFormat="1" ht="12.75">
      <c r="C1339" s="198">
        <v>4854801</v>
      </c>
      <c r="F1339" s="198">
        <f t="shared" si="45"/>
        <v>10901</v>
      </c>
      <c r="H1339" s="11">
        <v>4865702</v>
      </c>
      <c r="I1339" s="11"/>
      <c r="J1339" s="11"/>
      <c r="L1339" s="198">
        <v>573</v>
      </c>
      <c r="M1339" s="10">
        <v>1977</v>
      </c>
      <c r="N1339" s="198" t="s">
        <v>16</v>
      </c>
      <c r="O1339" s="13">
        <v>2016</v>
      </c>
    </row>
    <row r="1340" spans="3:15" s="9" customFormat="1" ht="12.75">
      <c r="C1340" s="9">
        <v>4854802</v>
      </c>
      <c r="F1340" s="9">
        <f t="shared" si="45"/>
        <v>10901</v>
      </c>
      <c r="H1340" s="11">
        <v>4865703</v>
      </c>
      <c r="I1340" s="11"/>
      <c r="J1340" s="11"/>
      <c r="K1340" s="9">
        <v>228</v>
      </c>
      <c r="L1340" s="9">
        <v>574</v>
      </c>
      <c r="M1340" s="10">
        <v>1977</v>
      </c>
      <c r="N1340" s="9" t="s">
        <v>16</v>
      </c>
      <c r="O1340" s="13">
        <v>2009</v>
      </c>
    </row>
    <row r="1341" spans="3:15" s="9" customFormat="1" ht="12.75">
      <c r="C1341" s="198">
        <v>4854803</v>
      </c>
      <c r="F1341" s="198">
        <f t="shared" si="45"/>
        <v>10901</v>
      </c>
      <c r="H1341" s="11">
        <v>4865704</v>
      </c>
      <c r="I1341" s="11"/>
      <c r="J1341" s="11"/>
      <c r="K1341" s="198">
        <v>228</v>
      </c>
      <c r="L1341" s="198">
        <v>575</v>
      </c>
      <c r="M1341" s="10">
        <v>1977</v>
      </c>
      <c r="N1341" s="198" t="s">
        <v>16</v>
      </c>
      <c r="O1341" s="13">
        <v>2010</v>
      </c>
    </row>
    <row r="1342" spans="3:15" s="9" customFormat="1" ht="12.75">
      <c r="C1342" s="9">
        <v>4854804</v>
      </c>
      <c r="F1342" s="9">
        <f t="shared" si="45"/>
        <v>10901</v>
      </c>
      <c r="H1342" s="11">
        <v>4865705</v>
      </c>
      <c r="I1342" s="11"/>
      <c r="J1342" s="11"/>
      <c r="K1342" s="9">
        <v>228</v>
      </c>
      <c r="L1342" s="9">
        <v>576</v>
      </c>
      <c r="M1342" s="10">
        <v>1977</v>
      </c>
      <c r="N1342" s="9" t="s">
        <v>16</v>
      </c>
      <c r="O1342" s="13">
        <v>2008</v>
      </c>
    </row>
    <row r="1343" spans="3:15" s="9" customFormat="1" ht="12.75">
      <c r="C1343" s="9">
        <v>4854808</v>
      </c>
      <c r="E1343" s="9">
        <v>4860709</v>
      </c>
      <c r="F1343" s="9">
        <f t="shared" si="45"/>
        <v>10901</v>
      </c>
      <c r="H1343" s="77">
        <v>4865709</v>
      </c>
      <c r="I1343" s="77"/>
      <c r="J1343" s="77"/>
      <c r="K1343" s="9">
        <f>808-580</f>
        <v>228</v>
      </c>
      <c r="L1343" s="9">
        <v>580</v>
      </c>
      <c r="M1343" s="10">
        <v>1977</v>
      </c>
      <c r="N1343" s="9" t="s">
        <v>16</v>
      </c>
      <c r="O1343" s="13" t="s">
        <v>333</v>
      </c>
    </row>
    <row r="1344" spans="3:15" s="9" customFormat="1" ht="12.75">
      <c r="C1344" s="198">
        <v>4854809</v>
      </c>
      <c r="F1344" s="198">
        <f t="shared" si="45"/>
        <v>10901</v>
      </c>
      <c r="H1344" s="77">
        <v>4865710</v>
      </c>
      <c r="I1344" s="77"/>
      <c r="J1344" s="77"/>
      <c r="K1344" s="198">
        <v>228</v>
      </c>
      <c r="L1344" s="198">
        <v>581</v>
      </c>
      <c r="M1344" s="10">
        <v>1977</v>
      </c>
      <c r="N1344" s="198" t="s">
        <v>16</v>
      </c>
      <c r="O1344" s="13">
        <v>2014</v>
      </c>
    </row>
    <row r="1345" spans="3:15" s="9" customFormat="1" ht="12.75">
      <c r="C1345" s="9">
        <v>4854814</v>
      </c>
      <c r="F1345" s="9">
        <f t="shared" si="45"/>
        <v>10901</v>
      </c>
      <c r="H1345" s="11">
        <v>4865715</v>
      </c>
      <c r="I1345" s="11"/>
      <c r="J1345" s="11"/>
      <c r="K1345" s="9">
        <f>814-586</f>
        <v>228</v>
      </c>
      <c r="L1345" s="9">
        <v>586</v>
      </c>
      <c r="M1345" s="10">
        <v>1977</v>
      </c>
      <c r="N1345" s="9" t="s">
        <v>16</v>
      </c>
      <c r="O1345" s="10">
        <v>2006</v>
      </c>
    </row>
    <row r="1346" spans="3:15" s="9" customFormat="1" ht="12.75">
      <c r="C1346" s="9">
        <v>4854817</v>
      </c>
      <c r="F1346" s="9">
        <f t="shared" si="45"/>
        <v>10901</v>
      </c>
      <c r="H1346" s="11">
        <v>4865718</v>
      </c>
      <c r="I1346" s="11"/>
      <c r="J1346" s="11"/>
      <c r="M1346" s="10"/>
      <c r="O1346" s="10" t="s">
        <v>164</v>
      </c>
    </row>
    <row r="1347" spans="3:15" s="9" customFormat="1" ht="12.75">
      <c r="C1347" s="198">
        <v>4854822</v>
      </c>
      <c r="F1347" s="198">
        <f t="shared" si="45"/>
        <v>10901</v>
      </c>
      <c r="H1347" s="11">
        <v>4865723</v>
      </c>
      <c r="I1347" s="11"/>
      <c r="J1347" s="11"/>
      <c r="K1347" s="9">
        <v>228</v>
      </c>
      <c r="L1347" s="198">
        <v>594</v>
      </c>
      <c r="M1347" s="10">
        <v>1977</v>
      </c>
      <c r="N1347" s="198" t="s">
        <v>16</v>
      </c>
      <c r="O1347" s="10">
        <v>2011</v>
      </c>
    </row>
    <row r="1348" spans="3:15" s="9" customFormat="1" ht="12.75">
      <c r="C1348" s="9">
        <v>4854823</v>
      </c>
      <c r="F1348" s="9">
        <f t="shared" si="45"/>
        <v>10901</v>
      </c>
      <c r="H1348" s="11">
        <v>4865724</v>
      </c>
      <c r="I1348" s="11"/>
      <c r="J1348" s="11"/>
      <c r="K1348" s="9">
        <f>814-586</f>
        <v>228</v>
      </c>
      <c r="L1348" s="9">
        <v>595</v>
      </c>
      <c r="M1348" s="10">
        <v>1977</v>
      </c>
      <c r="N1348" s="9" t="s">
        <v>16</v>
      </c>
      <c r="O1348" s="10">
        <v>2004</v>
      </c>
    </row>
    <row r="1349" spans="3:15" s="9" customFormat="1" ht="12.75">
      <c r="C1349" s="9">
        <v>4854825</v>
      </c>
      <c r="F1349" s="9">
        <f t="shared" si="45"/>
        <v>10901</v>
      </c>
      <c r="H1349" s="11">
        <v>4865726</v>
      </c>
      <c r="I1349" s="11"/>
      <c r="J1349" s="11"/>
      <c r="K1349" s="9">
        <v>228</v>
      </c>
      <c r="L1349" s="9">
        <v>597</v>
      </c>
      <c r="M1349" s="10">
        <v>1977</v>
      </c>
      <c r="N1349" s="9" t="s">
        <v>16</v>
      </c>
      <c r="O1349" s="10">
        <v>2008</v>
      </c>
    </row>
    <row r="1350" spans="3:15" s="9" customFormat="1" ht="12.75">
      <c r="C1350" s="198">
        <v>4854829</v>
      </c>
      <c r="F1350" s="198">
        <f t="shared" si="45"/>
        <v>10901</v>
      </c>
      <c r="H1350" s="11">
        <v>4865730</v>
      </c>
      <c r="I1350" s="11"/>
      <c r="J1350" s="11"/>
      <c r="K1350" s="9">
        <v>228</v>
      </c>
      <c r="L1350" s="198">
        <v>601</v>
      </c>
      <c r="M1350" s="10">
        <v>1977</v>
      </c>
      <c r="N1350" s="198" t="s">
        <v>16</v>
      </c>
      <c r="O1350" s="10">
        <v>2010</v>
      </c>
    </row>
    <row r="1351" spans="3:15" s="9" customFormat="1" ht="12.75">
      <c r="C1351" s="9">
        <v>4854830</v>
      </c>
      <c r="F1351" s="9">
        <f t="shared" si="45"/>
        <v>10901</v>
      </c>
      <c r="H1351" s="11">
        <v>4865731</v>
      </c>
      <c r="I1351" s="11"/>
      <c r="J1351" s="11"/>
      <c r="K1351" s="9">
        <f>830-602</f>
        <v>228</v>
      </c>
      <c r="L1351" s="9">
        <v>602</v>
      </c>
      <c r="M1351" s="10">
        <v>1977</v>
      </c>
      <c r="N1351" s="9" t="s">
        <v>16</v>
      </c>
      <c r="O1351" s="10">
        <v>2008</v>
      </c>
    </row>
    <row r="1352" spans="3:15" s="9" customFormat="1" ht="12.75">
      <c r="C1352" s="9">
        <v>4854831</v>
      </c>
      <c r="F1352" s="9">
        <f t="shared" si="45"/>
        <v>10901</v>
      </c>
      <c r="H1352" s="11">
        <v>4865732</v>
      </c>
      <c r="I1352" s="11"/>
      <c r="J1352" s="11"/>
      <c r="K1352" s="9">
        <v>228</v>
      </c>
      <c r="L1352" s="9">
        <v>603</v>
      </c>
      <c r="M1352" s="10">
        <v>1977</v>
      </c>
      <c r="N1352" s="9" t="s">
        <v>16</v>
      </c>
      <c r="O1352" s="10">
        <v>2008</v>
      </c>
    </row>
    <row r="1353" spans="3:15" s="9" customFormat="1" ht="12.75">
      <c r="C1353" s="9">
        <v>4854832</v>
      </c>
      <c r="F1353" s="9">
        <f t="shared" si="45"/>
        <v>10901</v>
      </c>
      <c r="H1353" s="11">
        <v>4865733</v>
      </c>
      <c r="I1353" s="11"/>
      <c r="J1353" s="11"/>
      <c r="M1353" s="10"/>
      <c r="O1353" s="10" t="s">
        <v>164</v>
      </c>
    </row>
    <row r="1354" spans="3:15" s="9" customFormat="1" ht="12.75">
      <c r="C1354" s="9">
        <v>4854840</v>
      </c>
      <c r="F1354" s="9">
        <f t="shared" si="45"/>
        <v>10901</v>
      </c>
      <c r="H1354" s="11">
        <v>4865741</v>
      </c>
      <c r="I1354" s="11"/>
      <c r="J1354" s="11"/>
      <c r="K1354" s="9">
        <v>228</v>
      </c>
      <c r="L1354" s="9">
        <v>612</v>
      </c>
      <c r="M1354" s="10">
        <v>1978</v>
      </c>
      <c r="N1354" s="9" t="s">
        <v>16</v>
      </c>
      <c r="O1354" s="10">
        <v>2008</v>
      </c>
    </row>
    <row r="1355" spans="3:15" s="9" customFormat="1" ht="12.75">
      <c r="C1355" s="198">
        <v>4854843</v>
      </c>
      <c r="F1355" s="198">
        <f t="shared" si="45"/>
        <v>10901</v>
      </c>
      <c r="H1355" s="11">
        <v>4865744</v>
      </c>
      <c r="I1355" s="11"/>
      <c r="J1355" s="11"/>
      <c r="L1355" s="198">
        <v>615</v>
      </c>
      <c r="M1355" s="10">
        <v>1978</v>
      </c>
      <c r="N1355" s="198" t="s">
        <v>16</v>
      </c>
      <c r="O1355" s="10">
        <v>2016</v>
      </c>
    </row>
    <row r="1356" spans="3:15" s="9" customFormat="1" ht="12.75">
      <c r="C1356" s="9">
        <v>4854844</v>
      </c>
      <c r="F1356" s="9">
        <f t="shared" si="45"/>
        <v>10901</v>
      </c>
      <c r="H1356" s="11">
        <v>4865745</v>
      </c>
      <c r="I1356" s="11"/>
      <c r="J1356" s="11"/>
      <c r="K1356" s="9">
        <v>228</v>
      </c>
      <c r="L1356" s="9">
        <v>616</v>
      </c>
      <c r="M1356" s="10">
        <v>1978</v>
      </c>
      <c r="N1356" s="9" t="s">
        <v>16</v>
      </c>
      <c r="O1356" s="10">
        <v>2009</v>
      </c>
    </row>
    <row r="1357" spans="2:15" s="9" customFormat="1" ht="12.75">
      <c r="B1357" s="48">
        <v>709</v>
      </c>
      <c r="C1357" s="9">
        <v>4854848</v>
      </c>
      <c r="F1357" s="9">
        <f t="shared" si="45"/>
        <v>10901</v>
      </c>
      <c r="H1357" s="11">
        <v>4865749</v>
      </c>
      <c r="I1357" s="11"/>
      <c r="J1357" s="11"/>
      <c r="K1357" s="9">
        <f>814-586</f>
        <v>228</v>
      </c>
      <c r="L1357" s="9">
        <v>620</v>
      </c>
      <c r="M1357" s="10">
        <v>1978</v>
      </c>
      <c r="N1357" s="9" t="s">
        <v>16</v>
      </c>
      <c r="O1357" s="10">
        <v>2006</v>
      </c>
    </row>
    <row r="1358" spans="3:15" s="9" customFormat="1" ht="12.75">
      <c r="C1358" s="9">
        <v>4854849</v>
      </c>
      <c r="F1358" s="9">
        <f t="shared" si="45"/>
        <v>10901</v>
      </c>
      <c r="H1358" s="11">
        <v>4865750</v>
      </c>
      <c r="I1358" s="11"/>
      <c r="J1358" s="11"/>
      <c r="K1358" s="9">
        <v>228</v>
      </c>
      <c r="L1358" s="9">
        <v>621</v>
      </c>
      <c r="M1358" s="10">
        <v>1978</v>
      </c>
      <c r="N1358" s="9" t="s">
        <v>16</v>
      </c>
      <c r="O1358" s="10">
        <v>2008</v>
      </c>
    </row>
    <row r="1359" spans="3:15" s="9" customFormat="1" ht="12.75">
      <c r="C1359" s="9">
        <v>4854852</v>
      </c>
      <c r="F1359" s="9">
        <v>10901</v>
      </c>
      <c r="H1359" s="11">
        <v>4865753</v>
      </c>
      <c r="I1359" s="11"/>
      <c r="J1359" s="11"/>
      <c r="K1359" s="9">
        <v>228</v>
      </c>
      <c r="L1359" s="9">
        <v>624</v>
      </c>
      <c r="M1359" s="10">
        <v>1978</v>
      </c>
      <c r="N1359" s="9" t="s">
        <v>16</v>
      </c>
      <c r="O1359" s="10">
        <v>2008</v>
      </c>
    </row>
    <row r="1360" spans="3:15" s="9" customFormat="1" ht="12.75">
      <c r="C1360" s="9">
        <v>4854853</v>
      </c>
      <c r="F1360" s="9">
        <f aca="true" t="shared" si="46" ref="F1360:F1368">H1360-C1360</f>
        <v>10901</v>
      </c>
      <c r="H1360" s="11">
        <v>4865754</v>
      </c>
      <c r="I1360" s="11"/>
      <c r="J1360" s="11"/>
      <c r="K1360" s="9">
        <v>228</v>
      </c>
      <c r="L1360" s="9">
        <v>625</v>
      </c>
      <c r="M1360" s="10">
        <v>1978</v>
      </c>
      <c r="N1360" s="9" t="s">
        <v>16</v>
      </c>
      <c r="O1360" s="10">
        <v>2008</v>
      </c>
    </row>
    <row r="1361" spans="3:15" s="9" customFormat="1" ht="12.75">
      <c r="C1361" s="9">
        <v>4854856</v>
      </c>
      <c r="F1361" s="9">
        <f t="shared" si="46"/>
        <v>10901</v>
      </c>
      <c r="H1361" s="9">
        <v>4865757</v>
      </c>
      <c r="K1361" s="9">
        <f>856-628</f>
        <v>228</v>
      </c>
      <c r="L1361" s="9">
        <v>628</v>
      </c>
      <c r="M1361" s="10">
        <v>1978</v>
      </c>
      <c r="N1361" s="9" t="s">
        <v>16</v>
      </c>
      <c r="O1361" s="10"/>
    </row>
    <row r="1362" spans="3:15" s="9" customFormat="1" ht="12.75">
      <c r="C1362" s="9">
        <v>4854858</v>
      </c>
      <c r="F1362" s="9">
        <f t="shared" si="46"/>
        <v>10901</v>
      </c>
      <c r="H1362" s="68">
        <v>4865759</v>
      </c>
      <c r="I1362" s="68"/>
      <c r="J1362" s="68"/>
      <c r="K1362" s="9">
        <v>228</v>
      </c>
      <c r="L1362" s="9">
        <v>630</v>
      </c>
      <c r="M1362" s="10">
        <v>1978</v>
      </c>
      <c r="N1362" s="9" t="s">
        <v>16</v>
      </c>
      <c r="O1362" s="10">
        <v>2008</v>
      </c>
    </row>
    <row r="1363" spans="3:15" s="9" customFormat="1" ht="12.75">
      <c r="C1363" s="9">
        <v>4854861</v>
      </c>
      <c r="F1363" s="9">
        <f t="shared" si="46"/>
        <v>10901</v>
      </c>
      <c r="H1363" s="68">
        <v>4865762</v>
      </c>
      <c r="I1363" s="68"/>
      <c r="J1363" s="68"/>
      <c r="K1363" s="9">
        <v>228</v>
      </c>
      <c r="L1363" s="9">
        <v>633</v>
      </c>
      <c r="M1363" s="10">
        <v>1978</v>
      </c>
      <c r="N1363" s="9" t="s">
        <v>16</v>
      </c>
      <c r="O1363" s="10">
        <v>2008</v>
      </c>
    </row>
    <row r="1364" spans="3:15" s="9" customFormat="1" ht="12.75">
      <c r="C1364" s="9">
        <v>4854865</v>
      </c>
      <c r="F1364" s="9">
        <f t="shared" si="46"/>
        <v>10901</v>
      </c>
      <c r="H1364" s="11">
        <v>4865766</v>
      </c>
      <c r="I1364" s="11"/>
      <c r="J1364" s="11"/>
      <c r="K1364" s="9">
        <v>228</v>
      </c>
      <c r="L1364" s="9">
        <v>637</v>
      </c>
      <c r="M1364" s="10">
        <v>1978</v>
      </c>
      <c r="N1364" s="9" t="s">
        <v>16</v>
      </c>
      <c r="O1364" s="10">
        <v>2008</v>
      </c>
    </row>
    <row r="1365" spans="3:15" s="9" customFormat="1" ht="12.75">
      <c r="C1365" s="9">
        <v>4854866</v>
      </c>
      <c r="F1365" s="9">
        <f t="shared" si="46"/>
        <v>10901</v>
      </c>
      <c r="H1365" s="11">
        <v>4865767</v>
      </c>
      <c r="I1365" s="11"/>
      <c r="J1365" s="11"/>
      <c r="K1365" s="9">
        <v>228</v>
      </c>
      <c r="L1365" s="9">
        <v>638</v>
      </c>
      <c r="M1365" s="10">
        <v>1978</v>
      </c>
      <c r="N1365" s="9" t="s">
        <v>16</v>
      </c>
      <c r="O1365" s="10">
        <v>2008</v>
      </c>
    </row>
    <row r="1366" spans="3:15" s="9" customFormat="1" ht="12.75">
      <c r="C1366" s="9">
        <v>4854868</v>
      </c>
      <c r="F1366" s="9">
        <f t="shared" si="46"/>
        <v>10901</v>
      </c>
      <c r="H1366" s="11">
        <v>4865769</v>
      </c>
      <c r="I1366" s="11"/>
      <c r="J1366" s="11"/>
      <c r="K1366" s="9">
        <f>814-586</f>
        <v>228</v>
      </c>
      <c r="L1366" s="9">
        <v>640</v>
      </c>
      <c r="M1366" s="10">
        <v>1978</v>
      </c>
      <c r="N1366" s="9" t="s">
        <v>16</v>
      </c>
      <c r="O1366" s="10">
        <v>2007</v>
      </c>
    </row>
    <row r="1367" spans="3:15" s="9" customFormat="1" ht="12.75">
      <c r="C1367" s="9">
        <v>4854874</v>
      </c>
      <c r="F1367" s="9">
        <f t="shared" si="46"/>
        <v>10901</v>
      </c>
      <c r="H1367" s="11">
        <v>4865775</v>
      </c>
      <c r="I1367" s="11"/>
      <c r="J1367" s="11"/>
      <c r="K1367" s="9">
        <v>228</v>
      </c>
      <c r="L1367" s="9">
        <v>646</v>
      </c>
      <c r="M1367" s="10">
        <v>1978</v>
      </c>
      <c r="N1367" s="9" t="s">
        <v>16</v>
      </c>
      <c r="O1367" s="10">
        <v>2008</v>
      </c>
    </row>
    <row r="1368" spans="3:15" s="9" customFormat="1" ht="12.75">
      <c r="C1368" s="9">
        <v>4854878</v>
      </c>
      <c r="E1368" s="53">
        <v>4860779</v>
      </c>
      <c r="F1368" s="9">
        <f t="shared" si="46"/>
        <v>10901</v>
      </c>
      <c r="H1368" s="9">
        <v>4865779</v>
      </c>
      <c r="M1368" s="10"/>
      <c r="O1368" s="260">
        <v>1986</v>
      </c>
    </row>
    <row r="1369" spans="5:15" s="9" customFormat="1" ht="12.75">
      <c r="E1369" s="53"/>
      <c r="H1369" s="201">
        <v>4865782</v>
      </c>
      <c r="L1369" s="198">
        <v>653</v>
      </c>
      <c r="M1369" s="10">
        <v>1978</v>
      </c>
      <c r="N1369" s="198" t="s">
        <v>16</v>
      </c>
      <c r="O1369" s="13">
        <v>2011</v>
      </c>
    </row>
    <row r="1370" spans="3:15" s="9" customFormat="1" ht="12.75">
      <c r="C1370" s="9">
        <v>4854883</v>
      </c>
      <c r="F1370" s="9">
        <f aca="true" t="shared" si="47" ref="F1370:F1383">H1370-C1370</f>
        <v>10901</v>
      </c>
      <c r="H1370" s="62">
        <v>4865784</v>
      </c>
      <c r="I1370" s="62"/>
      <c r="J1370" s="62"/>
      <c r="K1370" s="9">
        <v>228</v>
      </c>
      <c r="L1370" s="9">
        <v>655</v>
      </c>
      <c r="M1370" s="10">
        <v>1978</v>
      </c>
      <c r="N1370" s="9" t="s">
        <v>16</v>
      </c>
      <c r="O1370" s="10">
        <v>2008</v>
      </c>
    </row>
    <row r="1371" spans="3:15" s="9" customFormat="1" ht="12.75">
      <c r="C1371" s="9">
        <v>4854885</v>
      </c>
      <c r="F1371" s="9">
        <f t="shared" si="47"/>
        <v>10901</v>
      </c>
      <c r="H1371" s="11">
        <v>4865786</v>
      </c>
      <c r="I1371" s="11"/>
      <c r="J1371" s="11"/>
      <c r="K1371" s="9">
        <f>885-657</f>
        <v>228</v>
      </c>
      <c r="L1371" s="9">
        <v>657</v>
      </c>
      <c r="M1371" s="10">
        <v>1978</v>
      </c>
      <c r="N1371" s="9" t="s">
        <v>16</v>
      </c>
      <c r="O1371" s="10">
        <v>2008</v>
      </c>
    </row>
    <row r="1372" spans="3:15" s="9" customFormat="1" ht="12.75">
      <c r="C1372" s="9">
        <v>4854887</v>
      </c>
      <c r="F1372" s="9">
        <f t="shared" si="47"/>
        <v>10901</v>
      </c>
      <c r="H1372" s="11">
        <v>4865788</v>
      </c>
      <c r="I1372" s="11"/>
      <c r="J1372" s="11"/>
      <c r="K1372" s="9">
        <v>228</v>
      </c>
      <c r="L1372" s="9">
        <v>659</v>
      </c>
      <c r="M1372" s="10">
        <v>1979</v>
      </c>
      <c r="N1372" s="9" t="s">
        <v>16</v>
      </c>
      <c r="O1372" s="10">
        <v>2008</v>
      </c>
    </row>
    <row r="1373" spans="3:15" s="9" customFormat="1" ht="12.75">
      <c r="C1373" s="9">
        <v>4854890</v>
      </c>
      <c r="F1373" s="9">
        <f t="shared" si="47"/>
        <v>10901</v>
      </c>
      <c r="H1373" s="11">
        <v>4865791</v>
      </c>
      <c r="I1373" s="11"/>
      <c r="J1373" s="11"/>
      <c r="K1373" s="9">
        <f>890-662</f>
        <v>228</v>
      </c>
      <c r="L1373" s="9">
        <v>662</v>
      </c>
      <c r="M1373" s="10">
        <v>1978</v>
      </c>
      <c r="N1373" s="9" t="s">
        <v>16</v>
      </c>
      <c r="O1373" s="10">
        <v>2008</v>
      </c>
    </row>
    <row r="1374" spans="3:15" s="9" customFormat="1" ht="12.75">
      <c r="C1374" s="198">
        <v>4854894</v>
      </c>
      <c r="F1374" s="198">
        <f t="shared" si="47"/>
        <v>10901</v>
      </c>
      <c r="H1374" s="11">
        <v>4865795</v>
      </c>
      <c r="I1374" s="11"/>
      <c r="J1374" s="11"/>
      <c r="K1374" s="9">
        <v>228</v>
      </c>
      <c r="L1374" s="198">
        <v>666</v>
      </c>
      <c r="M1374" s="10">
        <v>1978</v>
      </c>
      <c r="N1374" s="198" t="s">
        <v>16</v>
      </c>
      <c r="O1374" s="10">
        <v>2011</v>
      </c>
    </row>
    <row r="1375" spans="3:15" s="9" customFormat="1" ht="12.75">
      <c r="C1375" s="9">
        <v>4854901</v>
      </c>
      <c r="F1375" s="9">
        <f t="shared" si="47"/>
        <v>10901</v>
      </c>
      <c r="H1375" s="11">
        <v>4865802</v>
      </c>
      <c r="I1375" s="11"/>
      <c r="J1375" s="11"/>
      <c r="K1375" s="9">
        <v>228</v>
      </c>
      <c r="L1375" s="9">
        <v>673</v>
      </c>
      <c r="M1375" s="10">
        <v>1978</v>
      </c>
      <c r="N1375" s="9" t="s">
        <v>16</v>
      </c>
      <c r="O1375" s="10">
        <v>2002</v>
      </c>
    </row>
    <row r="1376" spans="3:15" s="9" customFormat="1" ht="12.75">
      <c r="C1376" s="9">
        <v>4854902</v>
      </c>
      <c r="F1376" s="9">
        <f t="shared" si="47"/>
        <v>10901</v>
      </c>
      <c r="H1376" s="11">
        <v>4865803</v>
      </c>
      <c r="I1376" s="11"/>
      <c r="J1376" s="11"/>
      <c r="K1376" s="9">
        <f>902-674</f>
        <v>228</v>
      </c>
      <c r="L1376" s="9">
        <v>674</v>
      </c>
      <c r="M1376" s="10">
        <v>1978</v>
      </c>
      <c r="N1376" s="9" t="s">
        <v>16</v>
      </c>
      <c r="O1376" s="10">
        <v>2001</v>
      </c>
    </row>
    <row r="1377" spans="3:15" s="9" customFormat="1" ht="12.75">
      <c r="C1377" s="198">
        <v>4854903</v>
      </c>
      <c r="F1377" s="198">
        <f t="shared" si="47"/>
        <v>10901</v>
      </c>
      <c r="H1377" s="11">
        <v>4865804</v>
      </c>
      <c r="I1377" s="11"/>
      <c r="J1377" s="11"/>
      <c r="K1377" s="9">
        <v>228</v>
      </c>
      <c r="L1377" s="198">
        <v>675</v>
      </c>
      <c r="M1377" s="10">
        <v>1978</v>
      </c>
      <c r="N1377" s="198" t="s">
        <v>16</v>
      </c>
      <c r="O1377" s="10">
        <v>2010</v>
      </c>
    </row>
    <row r="1378" spans="3:15" s="9" customFormat="1" ht="12.75">
      <c r="C1378" s="9">
        <v>4854905</v>
      </c>
      <c r="F1378" s="9">
        <f t="shared" si="47"/>
        <v>10901</v>
      </c>
      <c r="H1378" s="11">
        <v>4865806</v>
      </c>
      <c r="I1378" s="11"/>
      <c r="J1378" s="11"/>
      <c r="K1378" s="9">
        <v>228</v>
      </c>
      <c r="L1378" s="9">
        <v>677</v>
      </c>
      <c r="M1378" s="10">
        <v>1978</v>
      </c>
      <c r="N1378" s="9" t="s">
        <v>16</v>
      </c>
      <c r="O1378" s="10">
        <v>2008</v>
      </c>
    </row>
    <row r="1379" spans="3:15" s="9" customFormat="1" ht="12.75">
      <c r="C1379" s="9">
        <v>4854909</v>
      </c>
      <c r="F1379" s="9">
        <f t="shared" si="47"/>
        <v>10901</v>
      </c>
      <c r="H1379" s="11">
        <v>4865810</v>
      </c>
      <c r="I1379" s="11"/>
      <c r="J1379" s="11"/>
      <c r="K1379" s="9">
        <v>228</v>
      </c>
      <c r="L1379" s="9">
        <v>681</v>
      </c>
      <c r="M1379" s="10">
        <v>1978</v>
      </c>
      <c r="N1379" s="9" t="s">
        <v>16</v>
      </c>
      <c r="O1379" s="10">
        <v>2008</v>
      </c>
    </row>
    <row r="1380" spans="3:15" s="9" customFormat="1" ht="12.75">
      <c r="C1380" s="9">
        <v>4854913</v>
      </c>
      <c r="F1380" s="9">
        <f t="shared" si="47"/>
        <v>10901</v>
      </c>
      <c r="H1380" s="11">
        <v>4865814</v>
      </c>
      <c r="I1380" s="11"/>
      <c r="J1380" s="11"/>
      <c r="K1380" s="9">
        <v>228</v>
      </c>
      <c r="L1380" s="9">
        <v>685</v>
      </c>
      <c r="M1380" s="10">
        <v>1978</v>
      </c>
      <c r="N1380" s="9" t="s">
        <v>16</v>
      </c>
      <c r="O1380" s="10">
        <v>2008</v>
      </c>
    </row>
    <row r="1381" spans="3:15" s="9" customFormat="1" ht="12.75">
      <c r="C1381" s="198">
        <v>4854914</v>
      </c>
      <c r="F1381" s="198">
        <f t="shared" si="47"/>
        <v>10901</v>
      </c>
      <c r="H1381" s="11">
        <v>4865815</v>
      </c>
      <c r="I1381" s="11"/>
      <c r="J1381" s="11"/>
      <c r="K1381" s="198">
        <v>228</v>
      </c>
      <c r="L1381" s="198">
        <v>686</v>
      </c>
      <c r="M1381" s="10">
        <v>1978</v>
      </c>
      <c r="N1381" s="198" t="s">
        <v>16</v>
      </c>
      <c r="O1381" s="10">
        <v>2011</v>
      </c>
    </row>
    <row r="1382" spans="3:15" s="9" customFormat="1" ht="12.75">
      <c r="C1382" s="9">
        <v>4854915</v>
      </c>
      <c r="F1382" s="9">
        <f t="shared" si="47"/>
        <v>10901</v>
      </c>
      <c r="H1382" s="11">
        <v>4865816</v>
      </c>
      <c r="I1382" s="11"/>
      <c r="J1382" s="11"/>
      <c r="M1382" s="10"/>
      <c r="O1382" s="10">
        <v>2006</v>
      </c>
    </row>
    <row r="1383" spans="3:15" s="9" customFormat="1" ht="12.75">
      <c r="C1383" s="198">
        <v>4854916</v>
      </c>
      <c r="F1383" s="198">
        <f t="shared" si="47"/>
        <v>10901</v>
      </c>
      <c r="H1383" s="11">
        <v>4865817</v>
      </c>
      <c r="I1383" s="11"/>
      <c r="J1383" s="11"/>
      <c r="K1383" s="198">
        <v>228</v>
      </c>
      <c r="L1383" s="198">
        <v>688</v>
      </c>
      <c r="M1383" s="10">
        <v>1978</v>
      </c>
      <c r="N1383" s="198" t="s">
        <v>16</v>
      </c>
      <c r="O1383" s="10">
        <v>2010</v>
      </c>
    </row>
    <row r="1384" spans="3:15" s="9" customFormat="1" ht="12.75">
      <c r="C1384" s="9">
        <v>4854917</v>
      </c>
      <c r="F1384" s="9">
        <v>10901</v>
      </c>
      <c r="H1384" s="11">
        <v>4865818</v>
      </c>
      <c r="I1384" s="11"/>
      <c r="J1384" s="11"/>
      <c r="K1384" s="9">
        <f>917-689</f>
        <v>228</v>
      </c>
      <c r="L1384" s="9">
        <v>689</v>
      </c>
      <c r="M1384" s="10">
        <v>1978</v>
      </c>
      <c r="N1384" s="9" t="s">
        <v>16</v>
      </c>
      <c r="O1384" s="10">
        <v>2007</v>
      </c>
    </row>
    <row r="1385" spans="3:15" s="9" customFormat="1" ht="12.75">
      <c r="C1385" s="9">
        <v>4854923</v>
      </c>
      <c r="F1385" s="9">
        <f aca="true" t="shared" si="48" ref="F1385:F1409">H1385-C1385</f>
        <v>10901</v>
      </c>
      <c r="H1385" s="11">
        <v>4865824</v>
      </c>
      <c r="I1385" s="11"/>
      <c r="J1385" s="11"/>
      <c r="M1385" s="10"/>
      <c r="O1385" s="10">
        <v>2005</v>
      </c>
    </row>
    <row r="1386" spans="3:15" s="9" customFormat="1" ht="12.75">
      <c r="C1386" s="198">
        <v>4854928</v>
      </c>
      <c r="F1386" s="198">
        <f t="shared" si="48"/>
        <v>10901</v>
      </c>
      <c r="H1386" s="11">
        <v>4865829</v>
      </c>
      <c r="I1386" s="11"/>
      <c r="J1386" s="11"/>
      <c r="K1386" s="9">
        <v>228</v>
      </c>
      <c r="L1386" s="198">
        <v>700</v>
      </c>
      <c r="M1386" s="10">
        <v>1978</v>
      </c>
      <c r="N1386" s="198" t="s">
        <v>16</v>
      </c>
      <c r="O1386" s="10">
        <v>2010</v>
      </c>
    </row>
    <row r="1387" spans="3:15" s="9" customFormat="1" ht="12.75">
      <c r="C1387" s="9">
        <v>4854930</v>
      </c>
      <c r="F1387" s="9">
        <f t="shared" si="48"/>
        <v>10901</v>
      </c>
      <c r="H1387" s="11">
        <v>4865831</v>
      </c>
      <c r="I1387" s="11"/>
      <c r="J1387" s="11"/>
      <c r="K1387" s="9">
        <f>814-586</f>
        <v>228</v>
      </c>
      <c r="L1387" s="9">
        <v>702</v>
      </c>
      <c r="M1387" s="10">
        <v>1978</v>
      </c>
      <c r="N1387" s="9" t="s">
        <v>16</v>
      </c>
      <c r="O1387" s="10">
        <v>2006</v>
      </c>
    </row>
    <row r="1388" spans="3:15" s="9" customFormat="1" ht="12.75">
      <c r="C1388" s="9">
        <v>4854931</v>
      </c>
      <c r="F1388" s="9">
        <f t="shared" si="48"/>
        <v>10901</v>
      </c>
      <c r="H1388" s="11">
        <v>4865832</v>
      </c>
      <c r="I1388" s="11"/>
      <c r="J1388" s="11"/>
      <c r="M1388" s="10">
        <v>1978</v>
      </c>
      <c r="O1388" s="10">
        <v>1997</v>
      </c>
    </row>
    <row r="1389" spans="3:15" s="9" customFormat="1" ht="12.75">
      <c r="C1389" s="9">
        <v>4854933</v>
      </c>
      <c r="F1389" s="9">
        <f t="shared" si="48"/>
        <v>10901</v>
      </c>
      <c r="H1389" s="11">
        <v>4865834</v>
      </c>
      <c r="I1389" s="11"/>
      <c r="J1389" s="11"/>
      <c r="K1389" s="9">
        <f>814-586</f>
        <v>228</v>
      </c>
      <c r="L1389" s="9">
        <v>705</v>
      </c>
      <c r="M1389" s="10">
        <v>1978</v>
      </c>
      <c r="N1389" s="9" t="s">
        <v>16</v>
      </c>
      <c r="O1389" s="10" t="s">
        <v>314</v>
      </c>
    </row>
    <row r="1390" spans="3:15" s="9" customFormat="1" ht="12.75">
      <c r="C1390" s="9">
        <v>4854938</v>
      </c>
      <c r="F1390" s="9">
        <f t="shared" si="48"/>
        <v>10901</v>
      </c>
      <c r="H1390" s="11">
        <v>4865839</v>
      </c>
      <c r="I1390" s="11"/>
      <c r="J1390" s="11"/>
      <c r="K1390" s="9">
        <v>228</v>
      </c>
      <c r="L1390" s="9">
        <v>710</v>
      </c>
      <c r="M1390" s="10">
        <v>1978</v>
      </c>
      <c r="N1390" s="9" t="s">
        <v>16</v>
      </c>
      <c r="O1390" s="10">
        <v>2008</v>
      </c>
    </row>
    <row r="1391" spans="3:15" s="9" customFormat="1" ht="12.75">
      <c r="C1391" s="9">
        <v>4854939</v>
      </c>
      <c r="F1391" s="9">
        <f t="shared" si="48"/>
        <v>10901</v>
      </c>
      <c r="H1391" s="11">
        <v>4865840</v>
      </c>
      <c r="I1391" s="11"/>
      <c r="J1391" s="11"/>
      <c r="K1391" s="9">
        <f>814-586</f>
        <v>228</v>
      </c>
      <c r="L1391" s="9">
        <v>711</v>
      </c>
      <c r="M1391" s="10">
        <v>1977</v>
      </c>
      <c r="N1391" s="9" t="s">
        <v>16</v>
      </c>
      <c r="O1391" s="10">
        <v>2005</v>
      </c>
    </row>
    <row r="1392" spans="3:15" s="9" customFormat="1" ht="12.75">
      <c r="C1392" s="9">
        <v>4854941</v>
      </c>
      <c r="F1392" s="9">
        <f t="shared" si="48"/>
        <v>10901</v>
      </c>
      <c r="H1392" s="11">
        <v>4865842</v>
      </c>
      <c r="I1392" s="11"/>
      <c r="J1392" s="11"/>
      <c r="K1392" s="9">
        <f>814-586</f>
        <v>228</v>
      </c>
      <c r="L1392" s="9">
        <v>713</v>
      </c>
      <c r="M1392" s="10">
        <v>1977</v>
      </c>
      <c r="N1392" s="9" t="s">
        <v>16</v>
      </c>
      <c r="O1392" s="10">
        <v>2005</v>
      </c>
    </row>
    <row r="1393" spans="3:15" s="9" customFormat="1" ht="12.75">
      <c r="C1393" s="9">
        <v>4854943</v>
      </c>
      <c r="F1393" s="9">
        <f t="shared" si="48"/>
        <v>10901</v>
      </c>
      <c r="H1393" s="11">
        <v>4865844</v>
      </c>
      <c r="I1393" s="11"/>
      <c r="J1393" s="11"/>
      <c r="K1393" s="9">
        <v>228</v>
      </c>
      <c r="L1393" s="9">
        <v>715</v>
      </c>
      <c r="M1393" s="10">
        <v>1977</v>
      </c>
      <c r="N1393" s="9" t="s">
        <v>16</v>
      </c>
      <c r="O1393" s="10">
        <v>2008</v>
      </c>
    </row>
    <row r="1394" spans="3:15" s="9" customFormat="1" ht="12.75">
      <c r="C1394" s="9">
        <v>4854947</v>
      </c>
      <c r="F1394" s="9">
        <f t="shared" si="48"/>
        <v>10901</v>
      </c>
      <c r="H1394" s="11">
        <v>4865848</v>
      </c>
      <c r="I1394" s="11"/>
      <c r="J1394" s="11"/>
      <c r="M1394" s="10"/>
      <c r="O1394" s="10" t="s">
        <v>164</v>
      </c>
    </row>
    <row r="1395" spans="3:15" s="9" customFormat="1" ht="12.75">
      <c r="C1395" s="9">
        <v>4854948</v>
      </c>
      <c r="F1395" s="9">
        <f t="shared" si="48"/>
        <v>10901</v>
      </c>
      <c r="H1395" s="11">
        <v>4865849</v>
      </c>
      <c r="I1395" s="11"/>
      <c r="J1395" s="11"/>
      <c r="K1395" s="9">
        <f>814-586</f>
        <v>228</v>
      </c>
      <c r="L1395" s="9">
        <v>720</v>
      </c>
      <c r="M1395" s="10">
        <v>1977</v>
      </c>
      <c r="N1395" s="9" t="s">
        <v>16</v>
      </c>
      <c r="O1395" s="10">
        <v>2007</v>
      </c>
    </row>
    <row r="1396" spans="3:15" s="9" customFormat="1" ht="12.75">
      <c r="C1396" s="9">
        <v>4854951</v>
      </c>
      <c r="F1396" s="9">
        <f t="shared" si="48"/>
        <v>10901</v>
      </c>
      <c r="H1396" s="11">
        <v>4865852</v>
      </c>
      <c r="I1396" s="11"/>
      <c r="J1396" s="11"/>
      <c r="K1396" s="9">
        <v>228</v>
      </c>
      <c r="L1396" s="9">
        <v>723</v>
      </c>
      <c r="M1396" s="10">
        <v>1977</v>
      </c>
      <c r="N1396" s="9" t="s">
        <v>16</v>
      </c>
      <c r="O1396" s="10">
        <v>2007</v>
      </c>
    </row>
    <row r="1397" spans="3:15" s="9" customFormat="1" ht="12.75">
      <c r="C1397" s="198">
        <v>4854956</v>
      </c>
      <c r="F1397" s="9">
        <f t="shared" si="48"/>
        <v>10901</v>
      </c>
      <c r="H1397" s="11">
        <v>4865857</v>
      </c>
      <c r="I1397" s="11"/>
      <c r="J1397" s="11"/>
      <c r="K1397" s="9">
        <v>228</v>
      </c>
      <c r="L1397" s="198">
        <v>728</v>
      </c>
      <c r="M1397" s="10">
        <v>1977</v>
      </c>
      <c r="N1397" s="198" t="s">
        <v>16</v>
      </c>
      <c r="O1397" s="10">
        <v>2011</v>
      </c>
    </row>
    <row r="1398" spans="3:15" s="9" customFormat="1" ht="12.75">
      <c r="C1398" s="9">
        <v>4854957</v>
      </c>
      <c r="F1398" s="9">
        <f t="shared" si="48"/>
        <v>10901</v>
      </c>
      <c r="H1398" s="11">
        <v>4865858</v>
      </c>
      <c r="I1398" s="11"/>
      <c r="J1398" s="11"/>
      <c r="M1398" s="10"/>
      <c r="O1398" s="10" t="s">
        <v>164</v>
      </c>
    </row>
    <row r="1399" spans="3:15" s="9" customFormat="1" ht="12.75">
      <c r="C1399" s="9">
        <v>4854958</v>
      </c>
      <c r="F1399" s="9">
        <f t="shared" si="48"/>
        <v>10901</v>
      </c>
      <c r="H1399" s="11">
        <v>4865859</v>
      </c>
      <c r="I1399" s="11"/>
      <c r="J1399" s="11"/>
      <c r="K1399" s="9">
        <f>958-730</f>
        <v>228</v>
      </c>
      <c r="L1399" s="9">
        <v>730</v>
      </c>
      <c r="M1399" s="10">
        <v>1977</v>
      </c>
      <c r="N1399" s="9" t="s">
        <v>16</v>
      </c>
      <c r="O1399" s="10">
        <v>2009</v>
      </c>
    </row>
    <row r="1400" spans="3:15" s="9" customFormat="1" ht="12.75">
      <c r="C1400" s="9">
        <v>4854962</v>
      </c>
      <c r="F1400" s="9">
        <f t="shared" si="48"/>
        <v>10901</v>
      </c>
      <c r="H1400" s="11">
        <v>4865863</v>
      </c>
      <c r="I1400" s="11"/>
      <c r="J1400" s="11"/>
      <c r="K1400" s="9">
        <v>228</v>
      </c>
      <c r="L1400" s="9">
        <v>734</v>
      </c>
      <c r="M1400" s="10">
        <v>1977</v>
      </c>
      <c r="N1400" s="9" t="s">
        <v>16</v>
      </c>
      <c r="O1400" s="10">
        <v>2007</v>
      </c>
    </row>
    <row r="1401" spans="3:15" s="9" customFormat="1" ht="12.75">
      <c r="C1401" s="9">
        <v>4854963</v>
      </c>
      <c r="F1401" s="9">
        <f t="shared" si="48"/>
        <v>10901</v>
      </c>
      <c r="H1401" s="11">
        <v>4865864</v>
      </c>
      <c r="I1401" s="11"/>
      <c r="J1401" s="11"/>
      <c r="K1401" s="9">
        <v>228</v>
      </c>
      <c r="L1401" s="9">
        <v>735</v>
      </c>
      <c r="M1401" s="10">
        <v>1977</v>
      </c>
      <c r="N1401" s="9" t="s">
        <v>16</v>
      </c>
      <c r="O1401" s="10">
        <v>2008</v>
      </c>
    </row>
    <row r="1402" spans="3:15" s="9" customFormat="1" ht="12.75">
      <c r="C1402" s="9">
        <v>4854965</v>
      </c>
      <c r="F1402" s="9">
        <f t="shared" si="48"/>
        <v>10901</v>
      </c>
      <c r="H1402" s="11">
        <v>4865866</v>
      </c>
      <c r="I1402" s="11"/>
      <c r="J1402" s="11"/>
      <c r="M1402" s="10"/>
      <c r="O1402" s="10" t="s">
        <v>164</v>
      </c>
    </row>
    <row r="1403" spans="3:15" s="9" customFormat="1" ht="12.75">
      <c r="C1403" s="9">
        <v>4854968</v>
      </c>
      <c r="F1403" s="9">
        <f t="shared" si="48"/>
        <v>10901</v>
      </c>
      <c r="H1403" s="11">
        <v>4865869</v>
      </c>
      <c r="I1403" s="11"/>
      <c r="J1403" s="11"/>
      <c r="K1403" s="9">
        <v>228</v>
      </c>
      <c r="L1403" s="9">
        <v>740</v>
      </c>
      <c r="M1403" s="10">
        <v>1977</v>
      </c>
      <c r="N1403" s="9" t="s">
        <v>16</v>
      </c>
      <c r="O1403" s="10">
        <v>2008</v>
      </c>
    </row>
    <row r="1404" spans="3:15" s="9" customFormat="1" ht="12.75">
      <c r="C1404" s="9">
        <v>4854969</v>
      </c>
      <c r="F1404" s="9">
        <f t="shared" si="48"/>
        <v>10901</v>
      </c>
      <c r="H1404" s="11">
        <v>4865870</v>
      </c>
      <c r="I1404" s="11"/>
      <c r="J1404" s="11"/>
      <c r="K1404" s="9">
        <f>969-741</f>
        <v>228</v>
      </c>
      <c r="L1404" s="9">
        <v>741</v>
      </c>
      <c r="M1404" s="10">
        <v>1977</v>
      </c>
      <c r="N1404" s="9" t="s">
        <v>16</v>
      </c>
      <c r="O1404" s="10" t="s">
        <v>334</v>
      </c>
    </row>
    <row r="1405" spans="3:15" s="9" customFormat="1" ht="12.75">
      <c r="C1405" s="9">
        <v>4854970</v>
      </c>
      <c r="F1405" s="9">
        <f t="shared" si="48"/>
        <v>10901</v>
      </c>
      <c r="H1405" s="11">
        <v>4865871</v>
      </c>
      <c r="I1405" s="11"/>
      <c r="J1405" s="11"/>
      <c r="K1405" s="9">
        <v>228</v>
      </c>
      <c r="L1405" s="9">
        <v>742</v>
      </c>
      <c r="M1405" s="10">
        <v>1977</v>
      </c>
      <c r="N1405" s="9" t="s">
        <v>16</v>
      </c>
      <c r="O1405" s="10">
        <v>2008</v>
      </c>
    </row>
    <row r="1406" spans="3:15" s="9" customFormat="1" ht="12.75">
      <c r="C1406" s="9">
        <v>4854979</v>
      </c>
      <c r="F1406" s="9">
        <f t="shared" si="48"/>
        <v>10901</v>
      </c>
      <c r="H1406" s="11">
        <v>4865880</v>
      </c>
      <c r="I1406" s="11"/>
      <c r="J1406" s="11"/>
      <c r="K1406" s="9">
        <v>228</v>
      </c>
      <c r="L1406" s="9">
        <v>751</v>
      </c>
      <c r="M1406" s="10">
        <v>1977</v>
      </c>
      <c r="N1406" s="9" t="s">
        <v>16</v>
      </c>
      <c r="O1406" s="10">
        <v>2008</v>
      </c>
    </row>
    <row r="1407" spans="3:15" s="9" customFormat="1" ht="12.75">
      <c r="C1407" s="9">
        <v>4854980</v>
      </c>
      <c r="F1407" s="9">
        <f t="shared" si="48"/>
        <v>10901</v>
      </c>
      <c r="H1407" s="11">
        <v>4865881</v>
      </c>
      <c r="I1407" s="11"/>
      <c r="J1407" s="11"/>
      <c r="K1407" s="198">
        <v>228</v>
      </c>
      <c r="L1407" s="198">
        <v>752</v>
      </c>
      <c r="M1407" s="10">
        <v>1977</v>
      </c>
      <c r="N1407" s="198" t="s">
        <v>16</v>
      </c>
      <c r="O1407" s="10" t="s">
        <v>335</v>
      </c>
    </row>
    <row r="1408" spans="3:15" s="9" customFormat="1" ht="12.75">
      <c r="C1408" s="9">
        <v>4854981</v>
      </c>
      <c r="F1408" s="9">
        <f t="shared" si="48"/>
        <v>10901</v>
      </c>
      <c r="H1408" s="11">
        <v>4865882</v>
      </c>
      <c r="I1408" s="11"/>
      <c r="J1408" s="11"/>
      <c r="K1408" s="9">
        <v>228</v>
      </c>
      <c r="L1408" s="9">
        <v>753</v>
      </c>
      <c r="M1408" s="10">
        <v>1977</v>
      </c>
      <c r="N1408" s="9" t="s">
        <v>16</v>
      </c>
      <c r="O1408" s="10">
        <v>2008</v>
      </c>
    </row>
    <row r="1409" spans="3:15" s="9" customFormat="1" ht="12.75">
      <c r="C1409" s="9">
        <v>4854982</v>
      </c>
      <c r="F1409" s="9">
        <f t="shared" si="48"/>
        <v>10901</v>
      </c>
      <c r="H1409" s="11">
        <v>4865883</v>
      </c>
      <c r="I1409" s="11"/>
      <c r="J1409" s="11"/>
      <c r="K1409" s="9">
        <v>228</v>
      </c>
      <c r="L1409" s="9">
        <v>754</v>
      </c>
      <c r="M1409" s="10">
        <v>1977</v>
      </c>
      <c r="N1409" s="9" t="s">
        <v>16</v>
      </c>
      <c r="O1409" s="10" t="s">
        <v>309</v>
      </c>
    </row>
    <row r="1410" spans="3:15" s="9" customFormat="1" ht="12.75">
      <c r="C1410" s="13" t="s">
        <v>336</v>
      </c>
      <c r="E1410" s="9">
        <v>4860887</v>
      </c>
      <c r="F1410" s="9">
        <v>10901</v>
      </c>
      <c r="H1410" s="53">
        <v>4865887</v>
      </c>
      <c r="I1410" s="53"/>
      <c r="K1410" s="9">
        <f>986-758</f>
        <v>228</v>
      </c>
      <c r="L1410" s="9">
        <v>758</v>
      </c>
      <c r="M1410" s="10">
        <v>1977</v>
      </c>
      <c r="N1410" s="9" t="s">
        <v>16</v>
      </c>
      <c r="O1410" s="10" t="s">
        <v>108</v>
      </c>
    </row>
    <row r="1411" spans="3:15" s="9" customFormat="1" ht="12.75">
      <c r="C1411" s="13">
        <v>4854988</v>
      </c>
      <c r="F1411" s="9">
        <v>10901</v>
      </c>
      <c r="H1411" s="53">
        <v>4865889</v>
      </c>
      <c r="I1411" s="53"/>
      <c r="L1411" s="198">
        <v>760</v>
      </c>
      <c r="M1411" s="10">
        <v>1977</v>
      </c>
      <c r="N1411" s="198" t="s">
        <v>16</v>
      </c>
      <c r="O1411" s="10">
        <v>2016</v>
      </c>
    </row>
    <row r="1412" spans="3:15" s="9" customFormat="1" ht="12.75">
      <c r="C1412" s="198">
        <v>4854993</v>
      </c>
      <c r="F1412" s="198">
        <f>H1412-C1412</f>
        <v>10901</v>
      </c>
      <c r="H1412" s="11">
        <v>4865894</v>
      </c>
      <c r="I1412" s="11"/>
      <c r="J1412" s="11"/>
      <c r="K1412" s="198">
        <v>228</v>
      </c>
      <c r="L1412" s="198">
        <v>765</v>
      </c>
      <c r="M1412" s="10">
        <v>1978</v>
      </c>
      <c r="N1412" s="198" t="s">
        <v>16</v>
      </c>
      <c r="O1412" s="10">
        <v>2010</v>
      </c>
    </row>
    <row r="1413" spans="3:15" s="2" customFormat="1" ht="13.5" thickBot="1">
      <c r="C1413" s="5">
        <v>4854998</v>
      </c>
      <c r="E1413" s="5"/>
      <c r="F1413" s="2">
        <f>H1413-C1413</f>
        <v>10901</v>
      </c>
      <c r="H1413" s="3">
        <v>4865899</v>
      </c>
      <c r="I1413" s="3"/>
      <c r="J1413" s="3"/>
      <c r="K1413" s="2">
        <f>998-770</f>
        <v>228</v>
      </c>
      <c r="L1413" s="2">
        <v>770</v>
      </c>
      <c r="M1413" s="6">
        <v>1978</v>
      </c>
      <c r="N1413" s="2" t="s">
        <v>16</v>
      </c>
      <c r="O1413" s="6">
        <v>2008</v>
      </c>
    </row>
    <row r="1414" spans="1:15" s="2" customFormat="1" ht="13.5" thickBot="1">
      <c r="A1414" s="2" t="s">
        <v>2</v>
      </c>
      <c r="B1414" s="17">
        <v>709</v>
      </c>
      <c r="C1414" s="5">
        <v>4854999</v>
      </c>
      <c r="D1414" s="2" t="s">
        <v>69</v>
      </c>
      <c r="E1414" s="6">
        <v>4860900</v>
      </c>
      <c r="F1414" s="2">
        <v>10901</v>
      </c>
      <c r="H1414" s="18">
        <v>4865900</v>
      </c>
      <c r="I1414" s="18"/>
      <c r="L1414" s="5" t="s">
        <v>275</v>
      </c>
      <c r="M1414" s="6">
        <v>1976</v>
      </c>
      <c r="N1414" s="2" t="s">
        <v>16</v>
      </c>
      <c r="O1414" s="6" t="s">
        <v>51</v>
      </c>
    </row>
    <row r="1415" spans="1:15" s="9" customFormat="1" ht="12.75">
      <c r="A1415" s="39" t="s">
        <v>337</v>
      </c>
      <c r="B1415" s="40">
        <v>1977</v>
      </c>
      <c r="C1415" s="161" t="s">
        <v>17</v>
      </c>
      <c r="D1415" s="142">
        <v>4871803</v>
      </c>
      <c r="E1415" s="145"/>
      <c r="F1415" s="142"/>
      <c r="G1415" s="155" t="s">
        <v>338</v>
      </c>
      <c r="L1415" s="13"/>
      <c r="M1415" s="10"/>
      <c r="O1415" s="10"/>
    </row>
    <row r="1416" spans="1:15" s="9" customFormat="1" ht="12.75">
      <c r="A1416" s="9" t="s">
        <v>3</v>
      </c>
      <c r="B1416" s="16" t="s">
        <v>175</v>
      </c>
      <c r="C1416" s="13"/>
      <c r="D1416" s="9">
        <v>4871805</v>
      </c>
      <c r="E1416" s="61"/>
      <c r="F1416" s="9">
        <f aca="true" t="shared" si="49" ref="F1416:F1433">D1416-G1416</f>
        <v>2803</v>
      </c>
      <c r="G1416" s="66">
        <v>4869002</v>
      </c>
      <c r="L1416" s="13"/>
      <c r="M1416" s="10"/>
      <c r="O1416" s="10" t="s">
        <v>116</v>
      </c>
    </row>
    <row r="1417" spans="1:15" s="9" customFormat="1" ht="12.75">
      <c r="A1417" s="9" t="s">
        <v>3</v>
      </c>
      <c r="B1417" s="16" t="s">
        <v>175</v>
      </c>
      <c r="C1417" s="13"/>
      <c r="D1417" s="9">
        <v>4871806</v>
      </c>
      <c r="E1417" s="61"/>
      <c r="F1417" s="9">
        <f t="shared" si="49"/>
        <v>2803</v>
      </c>
      <c r="G1417" s="66">
        <v>4869003</v>
      </c>
      <c r="L1417" s="13"/>
      <c r="M1417" s="10"/>
      <c r="O1417" s="10" t="s">
        <v>116</v>
      </c>
    </row>
    <row r="1418" spans="2:15" s="9" customFormat="1" ht="12.75">
      <c r="B1418" s="16"/>
      <c r="C1418" s="13"/>
      <c r="D1418" s="9">
        <v>4871810</v>
      </c>
      <c r="E1418" s="61"/>
      <c r="F1418" s="9">
        <f t="shared" si="49"/>
        <v>2803</v>
      </c>
      <c r="G1418" s="66">
        <v>4869007</v>
      </c>
      <c r="L1418" s="13"/>
      <c r="M1418" s="10"/>
      <c r="O1418" s="10" t="s">
        <v>164</v>
      </c>
    </row>
    <row r="1419" spans="1:15" s="9" customFormat="1" ht="12.75">
      <c r="A1419" s="9" t="s">
        <v>3</v>
      </c>
      <c r="B1419" s="16" t="s">
        <v>175</v>
      </c>
      <c r="C1419" s="13"/>
      <c r="D1419" s="9">
        <v>4871817</v>
      </c>
      <c r="E1419" s="61"/>
      <c r="F1419" s="9">
        <f t="shared" si="49"/>
        <v>2803</v>
      </c>
      <c r="G1419" s="66">
        <v>4869014</v>
      </c>
      <c r="L1419" s="13"/>
      <c r="M1419" s="10"/>
      <c r="O1419" s="10" t="s">
        <v>116</v>
      </c>
    </row>
    <row r="1420" spans="2:15" s="9" customFormat="1" ht="12.75">
      <c r="B1420" s="16"/>
      <c r="C1420" s="13"/>
      <c r="D1420" s="9">
        <v>4871818</v>
      </c>
      <c r="E1420" s="61"/>
      <c r="F1420" s="9">
        <f t="shared" si="49"/>
        <v>2803</v>
      </c>
      <c r="G1420" s="66">
        <v>4869015</v>
      </c>
      <c r="L1420" s="13"/>
      <c r="M1420" s="10"/>
      <c r="O1420" s="10" t="s">
        <v>164</v>
      </c>
    </row>
    <row r="1421" spans="1:15" s="9" customFormat="1" ht="12.75">
      <c r="A1421" s="9" t="s">
        <v>3</v>
      </c>
      <c r="B1421" s="16" t="s">
        <v>175</v>
      </c>
      <c r="C1421" s="13"/>
      <c r="D1421" s="9">
        <v>4871819</v>
      </c>
      <c r="E1421" s="61"/>
      <c r="F1421" s="9">
        <f t="shared" si="49"/>
        <v>2803</v>
      </c>
      <c r="G1421" s="66">
        <v>4869016</v>
      </c>
      <c r="L1421" s="13"/>
      <c r="M1421" s="10"/>
      <c r="O1421" s="10" t="s">
        <v>116</v>
      </c>
    </row>
    <row r="1422" spans="2:15" s="9" customFormat="1" ht="12.75">
      <c r="B1422" s="16"/>
      <c r="C1422" s="13"/>
      <c r="D1422" s="9">
        <v>4871822</v>
      </c>
      <c r="E1422" s="61"/>
      <c r="F1422" s="9">
        <f t="shared" si="49"/>
        <v>2803</v>
      </c>
      <c r="G1422" s="66">
        <v>4869019</v>
      </c>
      <c r="L1422" s="13"/>
      <c r="M1422" s="10"/>
      <c r="O1422" s="10" t="s">
        <v>164</v>
      </c>
    </row>
    <row r="1423" spans="2:15" s="9" customFormat="1" ht="12.75">
      <c r="B1423" s="16"/>
      <c r="C1423" s="13"/>
      <c r="D1423" s="9">
        <v>4871830</v>
      </c>
      <c r="E1423" s="61"/>
      <c r="F1423" s="9">
        <f t="shared" si="49"/>
        <v>2803</v>
      </c>
      <c r="G1423" s="66">
        <v>4869027</v>
      </c>
      <c r="L1423" s="13"/>
      <c r="M1423" s="10"/>
      <c r="O1423" s="10" t="s">
        <v>164</v>
      </c>
    </row>
    <row r="1424" spans="2:15" s="9" customFormat="1" ht="12.75">
      <c r="B1424" s="16"/>
      <c r="C1424" s="10" t="s">
        <v>339</v>
      </c>
      <c r="D1424" s="9">
        <v>4871833</v>
      </c>
      <c r="E1424" s="61"/>
      <c r="F1424" s="9">
        <f t="shared" si="49"/>
        <v>2803</v>
      </c>
      <c r="G1424" s="66">
        <v>4869030</v>
      </c>
      <c r="K1424" s="9">
        <f>1833-985</f>
        <v>848</v>
      </c>
      <c r="L1424" s="13">
        <v>141985</v>
      </c>
      <c r="M1424" s="10">
        <v>1977</v>
      </c>
      <c r="N1424" s="9" t="s">
        <v>178</v>
      </c>
      <c r="O1424" s="10">
        <v>2009</v>
      </c>
    </row>
    <row r="1425" spans="2:15" s="9" customFormat="1" ht="12.75">
      <c r="B1425" s="16"/>
      <c r="C1425" s="13"/>
      <c r="D1425" s="9">
        <v>4871835</v>
      </c>
      <c r="E1425" s="61"/>
      <c r="F1425" s="9">
        <f t="shared" si="49"/>
        <v>2803</v>
      </c>
      <c r="G1425" s="66">
        <v>4869032</v>
      </c>
      <c r="L1425" s="13"/>
      <c r="M1425" s="10"/>
      <c r="O1425" s="10" t="s">
        <v>164</v>
      </c>
    </row>
    <row r="1426" spans="2:15" s="9" customFormat="1" ht="12.75">
      <c r="B1426" s="16"/>
      <c r="C1426" s="13"/>
      <c r="D1426" s="9">
        <v>4871859</v>
      </c>
      <c r="E1426" s="61"/>
      <c r="F1426" s="9">
        <f t="shared" si="49"/>
        <v>2803</v>
      </c>
      <c r="G1426" s="66">
        <v>4869056</v>
      </c>
      <c r="K1426" s="9">
        <f>859-15</f>
        <v>844</v>
      </c>
      <c r="L1426" s="138">
        <v>142015</v>
      </c>
      <c r="M1426" s="10">
        <v>1977</v>
      </c>
      <c r="N1426" s="9" t="s">
        <v>178</v>
      </c>
      <c r="O1426" s="10">
        <v>2009</v>
      </c>
    </row>
    <row r="1427" spans="2:15" s="9" customFormat="1" ht="12.75">
      <c r="B1427" s="16"/>
      <c r="C1427" s="10" t="s">
        <v>339</v>
      </c>
      <c r="D1427" s="198">
        <v>4871864</v>
      </c>
      <c r="E1427" s="61"/>
      <c r="F1427" s="198">
        <f t="shared" si="49"/>
        <v>2803</v>
      </c>
      <c r="G1427" s="66">
        <v>4869061</v>
      </c>
      <c r="K1427" s="9">
        <f>864-35</f>
        <v>829</v>
      </c>
      <c r="L1427" s="138">
        <v>142035</v>
      </c>
      <c r="M1427" s="10">
        <v>1977</v>
      </c>
      <c r="N1427" s="9" t="s">
        <v>178</v>
      </c>
      <c r="O1427" s="10">
        <v>2011</v>
      </c>
    </row>
    <row r="1428" spans="2:15" s="9" customFormat="1" ht="12.75">
      <c r="B1428" s="16"/>
      <c r="C1428" s="10" t="s">
        <v>339</v>
      </c>
      <c r="D1428" s="9">
        <v>4871875</v>
      </c>
      <c r="E1428" s="61"/>
      <c r="F1428" s="9">
        <f t="shared" si="49"/>
        <v>2803</v>
      </c>
      <c r="G1428" s="66">
        <v>4869072</v>
      </c>
      <c r="K1428" s="9">
        <f>875-24</f>
        <v>851</v>
      </c>
      <c r="L1428" s="138">
        <v>142024</v>
      </c>
      <c r="M1428" s="13" t="s">
        <v>307</v>
      </c>
      <c r="N1428" s="9" t="s">
        <v>178</v>
      </c>
      <c r="O1428" s="10">
        <v>2009</v>
      </c>
    </row>
    <row r="1429" spans="1:15" s="9" customFormat="1" ht="12.75">
      <c r="A1429" s="9" t="s">
        <v>3</v>
      </c>
      <c r="B1429" s="16" t="s">
        <v>175</v>
      </c>
      <c r="C1429" s="13"/>
      <c r="D1429" s="9">
        <v>4871879</v>
      </c>
      <c r="E1429" s="61"/>
      <c r="F1429" s="9">
        <f t="shared" si="49"/>
        <v>2803</v>
      </c>
      <c r="G1429" s="66">
        <v>4869076</v>
      </c>
      <c r="L1429" s="13"/>
      <c r="M1429" s="10"/>
      <c r="O1429" s="10" t="s">
        <v>116</v>
      </c>
    </row>
    <row r="1430" spans="2:15" s="9" customFormat="1" ht="12.75">
      <c r="B1430" s="16"/>
      <c r="C1430" s="10" t="s">
        <v>339</v>
      </c>
      <c r="D1430" s="9">
        <v>4871881</v>
      </c>
      <c r="E1430" s="61"/>
      <c r="F1430" s="9">
        <f t="shared" si="49"/>
        <v>2803</v>
      </c>
      <c r="G1430" s="66">
        <v>4869078</v>
      </c>
      <c r="K1430" s="9">
        <f>881-16</f>
        <v>865</v>
      </c>
      <c r="L1430" s="13">
        <v>142016</v>
      </c>
      <c r="M1430" s="10">
        <v>1977</v>
      </c>
      <c r="N1430" s="9" t="s">
        <v>178</v>
      </c>
      <c r="O1430" s="10">
        <v>2009</v>
      </c>
    </row>
    <row r="1431" spans="2:15" s="9" customFormat="1" ht="12.75">
      <c r="B1431" s="16"/>
      <c r="C1431" s="10" t="s">
        <v>339</v>
      </c>
      <c r="D1431" s="9">
        <v>4871890</v>
      </c>
      <c r="E1431" s="61"/>
      <c r="F1431" s="9">
        <f t="shared" si="49"/>
        <v>2803</v>
      </c>
      <c r="G1431" s="66">
        <v>4869087</v>
      </c>
      <c r="K1431" s="9">
        <f>890-46</f>
        <v>844</v>
      </c>
      <c r="L1431" s="13">
        <v>142046</v>
      </c>
      <c r="M1431" s="13" t="s">
        <v>308</v>
      </c>
      <c r="N1431" s="9" t="s">
        <v>178</v>
      </c>
      <c r="O1431" s="10">
        <v>2009</v>
      </c>
    </row>
    <row r="1432" spans="2:15" s="9" customFormat="1" ht="12.75">
      <c r="B1432" s="16"/>
      <c r="C1432" s="10" t="s">
        <v>339</v>
      </c>
      <c r="D1432" s="198">
        <v>4871896</v>
      </c>
      <c r="E1432" s="61"/>
      <c r="F1432" s="198">
        <f t="shared" si="49"/>
        <v>2803</v>
      </c>
      <c r="G1432" s="66">
        <v>4869093</v>
      </c>
      <c r="K1432" s="9">
        <f>896-53</f>
        <v>843</v>
      </c>
      <c r="L1432" s="13">
        <v>142053</v>
      </c>
      <c r="M1432" s="13">
        <v>1977</v>
      </c>
      <c r="N1432" s="198" t="s">
        <v>178</v>
      </c>
      <c r="O1432" s="10">
        <v>2009</v>
      </c>
    </row>
    <row r="1433" spans="2:15" s="9" customFormat="1" ht="12.75">
      <c r="B1433" s="16"/>
      <c r="C1433" s="10" t="s">
        <v>339</v>
      </c>
      <c r="D1433" s="198">
        <v>4871897</v>
      </c>
      <c r="E1433" s="61"/>
      <c r="F1433" s="198">
        <f t="shared" si="49"/>
        <v>2803</v>
      </c>
      <c r="G1433" s="66">
        <v>4869094</v>
      </c>
      <c r="K1433" s="9">
        <f>897-54</f>
        <v>843</v>
      </c>
      <c r="L1433" s="13">
        <v>142054</v>
      </c>
      <c r="M1433" s="13">
        <v>1977</v>
      </c>
      <c r="N1433" s="198" t="s">
        <v>178</v>
      </c>
      <c r="O1433" s="10">
        <v>2011</v>
      </c>
    </row>
    <row r="1434" spans="2:15" s="9" customFormat="1" ht="12.75">
      <c r="B1434" s="16"/>
      <c r="C1434" s="13"/>
      <c r="E1434" s="61"/>
      <c r="G1434" s="66">
        <v>4869096</v>
      </c>
      <c r="L1434" s="13"/>
      <c r="M1434" s="10"/>
      <c r="O1434" s="10">
        <v>1993</v>
      </c>
    </row>
    <row r="1435" spans="2:15" s="9" customFormat="1" ht="12.75">
      <c r="B1435" s="16"/>
      <c r="C1435" s="13"/>
      <c r="E1435" s="61"/>
      <c r="G1435" s="66">
        <v>4869099</v>
      </c>
      <c r="L1435" s="13"/>
      <c r="M1435" s="10"/>
      <c r="O1435" s="10">
        <v>1994</v>
      </c>
    </row>
    <row r="1436" spans="1:15" s="9" customFormat="1" ht="12.75">
      <c r="A1436" s="9" t="s">
        <v>3</v>
      </c>
      <c r="B1436" s="16" t="s">
        <v>175</v>
      </c>
      <c r="D1436" s="9">
        <v>4871904</v>
      </c>
      <c r="E1436" s="61"/>
      <c r="F1436" s="9">
        <f>D1436-G1436</f>
        <v>2803</v>
      </c>
      <c r="G1436" s="66">
        <v>4869101</v>
      </c>
      <c r="M1436" s="10">
        <v>1977</v>
      </c>
      <c r="N1436" s="9" t="s">
        <v>178</v>
      </c>
      <c r="O1436" s="10">
        <v>1994</v>
      </c>
    </row>
    <row r="1437" spans="1:15" s="9" customFormat="1" ht="12.75">
      <c r="A1437" s="9" t="s">
        <v>3</v>
      </c>
      <c r="B1437" s="16" t="s">
        <v>175</v>
      </c>
      <c r="D1437" s="9">
        <v>4871907</v>
      </c>
      <c r="E1437" s="61"/>
      <c r="F1437" s="9">
        <f>D1437-G1437</f>
        <v>2803</v>
      </c>
      <c r="G1437" s="66">
        <v>4869104</v>
      </c>
      <c r="M1437" s="10"/>
      <c r="O1437" s="10" t="s">
        <v>116</v>
      </c>
    </row>
    <row r="1438" spans="2:15" s="2" customFormat="1" ht="13.5" thickBot="1">
      <c r="B1438" s="15"/>
      <c r="D1438" s="5" t="s">
        <v>340</v>
      </c>
      <c r="E1438" s="8"/>
      <c r="G1438" s="18">
        <v>4869113</v>
      </c>
      <c r="K1438" s="2">
        <f>916-65</f>
        <v>851</v>
      </c>
      <c r="L1438" s="2">
        <v>142065</v>
      </c>
      <c r="M1438" s="6">
        <v>1977</v>
      </c>
      <c r="N1438" s="2" t="s">
        <v>178</v>
      </c>
      <c r="O1438" s="6" t="s">
        <v>30</v>
      </c>
    </row>
    <row r="1439" spans="2:15" s="9" customFormat="1" ht="12.75">
      <c r="B1439" s="16"/>
      <c r="E1439" s="10" t="s">
        <v>341</v>
      </c>
      <c r="L1439" s="10" t="s">
        <v>342</v>
      </c>
      <c r="M1439" s="10"/>
      <c r="O1439" s="10"/>
    </row>
    <row r="1440" spans="2:15" s="9" customFormat="1" ht="12.75">
      <c r="B1440" s="16"/>
      <c r="E1440" s="104">
        <v>4864001</v>
      </c>
      <c r="G1440" s="9">
        <v>0</v>
      </c>
      <c r="H1440" s="9">
        <v>0</v>
      </c>
      <c r="I1440" s="274"/>
      <c r="K1440" s="9">
        <v>550</v>
      </c>
      <c r="L1440" s="10">
        <v>39451</v>
      </c>
      <c r="M1440" s="10">
        <v>1981</v>
      </c>
      <c r="N1440" s="9" t="s">
        <v>96</v>
      </c>
      <c r="O1440" s="10">
        <v>2002</v>
      </c>
    </row>
    <row r="1441" spans="2:15" s="9" customFormat="1" ht="12.75">
      <c r="B1441" s="16"/>
      <c r="C1441" s="10" t="s">
        <v>343</v>
      </c>
      <c r="D1441" s="9" t="s">
        <v>344</v>
      </c>
      <c r="E1441" s="9">
        <v>4864002</v>
      </c>
      <c r="F1441" s="12"/>
      <c r="G1441" s="9">
        <v>4869752</v>
      </c>
      <c r="H1441" s="11">
        <v>4864947</v>
      </c>
      <c r="I1441" s="274" t="s">
        <v>345</v>
      </c>
      <c r="J1441" s="11"/>
      <c r="K1441" s="9">
        <v>550</v>
      </c>
      <c r="L1441" s="9">
        <v>39452</v>
      </c>
      <c r="M1441" s="10">
        <v>1981</v>
      </c>
      <c r="N1441" s="9" t="s">
        <v>96</v>
      </c>
      <c r="O1441" s="10">
        <v>2006</v>
      </c>
    </row>
    <row r="1442" spans="2:15" s="9" customFormat="1" ht="12.75">
      <c r="B1442" s="16"/>
      <c r="C1442" s="10" t="s">
        <v>343</v>
      </c>
      <c r="D1442" s="9" t="s">
        <v>346</v>
      </c>
      <c r="E1442" s="9">
        <v>4864004</v>
      </c>
      <c r="F1442" s="12"/>
      <c r="G1442" s="9">
        <v>4869758</v>
      </c>
      <c r="H1442" s="67">
        <v>4864953</v>
      </c>
      <c r="I1442" s="274" t="s">
        <v>347</v>
      </c>
      <c r="J1442" s="67"/>
      <c r="K1442" s="9">
        <v>550</v>
      </c>
      <c r="L1442" s="9">
        <v>39454</v>
      </c>
      <c r="M1442" s="13" t="s">
        <v>348</v>
      </c>
      <c r="N1442" s="9" t="s">
        <v>171</v>
      </c>
      <c r="O1442" s="10">
        <v>2008</v>
      </c>
    </row>
    <row r="1443" spans="2:15" s="9" customFormat="1" ht="12.75">
      <c r="B1443" s="16"/>
      <c r="E1443" s="9">
        <v>4864005</v>
      </c>
      <c r="F1443" s="12"/>
      <c r="G1443" s="9">
        <v>4869774</v>
      </c>
      <c r="H1443" s="39">
        <v>4864969</v>
      </c>
      <c r="I1443" s="274"/>
      <c r="K1443" s="9">
        <v>550</v>
      </c>
      <c r="L1443" s="9">
        <v>39455</v>
      </c>
      <c r="M1443" s="10">
        <v>1981</v>
      </c>
      <c r="N1443" s="9" t="s">
        <v>96</v>
      </c>
      <c r="O1443" s="10" t="s">
        <v>30</v>
      </c>
    </row>
    <row r="1444" spans="2:15" s="9" customFormat="1" ht="12.75">
      <c r="B1444" s="16"/>
      <c r="E1444" s="10">
        <v>4864006</v>
      </c>
      <c r="F1444" s="12"/>
      <c r="G1444" s="9">
        <v>4869772</v>
      </c>
      <c r="H1444" s="11">
        <v>4864967</v>
      </c>
      <c r="I1444" s="274"/>
      <c r="J1444" s="11"/>
      <c r="K1444" s="9">
        <f>1006-456</f>
        <v>550</v>
      </c>
      <c r="L1444" s="9">
        <v>39456</v>
      </c>
      <c r="M1444" s="10">
        <v>1981</v>
      </c>
      <c r="N1444" s="9" t="s">
        <v>96</v>
      </c>
      <c r="O1444" s="10">
        <v>2006</v>
      </c>
    </row>
    <row r="1445" spans="1:15" s="9" customFormat="1" ht="12.75">
      <c r="A1445" s="9" t="s">
        <v>4</v>
      </c>
      <c r="B1445" s="16" t="s">
        <v>281</v>
      </c>
      <c r="E1445" s="11">
        <v>4864007</v>
      </c>
      <c r="F1445" s="12"/>
      <c r="G1445" s="9">
        <v>0</v>
      </c>
      <c r="H1445" s="9">
        <v>0</v>
      </c>
      <c r="I1445" s="274"/>
      <c r="M1445" s="10">
        <v>1981</v>
      </c>
      <c r="N1445" s="9" t="s">
        <v>96</v>
      </c>
      <c r="O1445" s="10">
        <v>2007</v>
      </c>
    </row>
    <row r="1446" spans="2:15" s="9" customFormat="1" ht="12.75">
      <c r="B1446" s="16"/>
      <c r="C1446" s="10" t="s">
        <v>343</v>
      </c>
      <c r="D1446" s="9" t="s">
        <v>349</v>
      </c>
      <c r="E1446" s="9">
        <v>4864008</v>
      </c>
      <c r="F1446" s="12"/>
      <c r="G1446" s="9">
        <v>4869751</v>
      </c>
      <c r="H1446" s="95">
        <v>4864946</v>
      </c>
      <c r="I1446" s="274" t="s">
        <v>350</v>
      </c>
      <c r="J1446" s="95"/>
      <c r="K1446" s="9">
        <v>550</v>
      </c>
      <c r="L1446" s="9">
        <v>39458</v>
      </c>
      <c r="M1446" s="10">
        <v>1981</v>
      </c>
      <c r="N1446" s="9" t="s">
        <v>96</v>
      </c>
      <c r="O1446" s="10">
        <v>2008</v>
      </c>
    </row>
    <row r="1447" spans="2:15" s="9" customFormat="1" ht="12.75">
      <c r="B1447" s="16"/>
      <c r="C1447" s="10"/>
      <c r="E1447" s="219">
        <v>4864010</v>
      </c>
      <c r="F1447" s="12"/>
      <c r="G1447" s="198">
        <v>0</v>
      </c>
      <c r="H1447" s="220">
        <v>0</v>
      </c>
      <c r="I1447" s="274"/>
      <c r="J1447" s="95"/>
      <c r="M1447" s="10">
        <v>1981</v>
      </c>
      <c r="N1447" s="198" t="s">
        <v>96</v>
      </c>
      <c r="O1447" s="10">
        <v>2010</v>
      </c>
    </row>
    <row r="1448" spans="2:15" s="9" customFormat="1" ht="12.75">
      <c r="B1448" s="16"/>
      <c r="E1448" s="53">
        <v>4864012</v>
      </c>
      <c r="F1448" s="12"/>
      <c r="G1448" s="9">
        <v>4869210</v>
      </c>
      <c r="I1448" s="274"/>
      <c r="K1448" s="9">
        <v>550</v>
      </c>
      <c r="L1448" s="9">
        <v>39462</v>
      </c>
      <c r="M1448" s="10">
        <v>1981</v>
      </c>
      <c r="N1448" s="9" t="s">
        <v>96</v>
      </c>
      <c r="O1448" s="10">
        <v>1995</v>
      </c>
    </row>
    <row r="1449" spans="2:15" s="9" customFormat="1" ht="12.75">
      <c r="B1449" s="16"/>
      <c r="E1449" s="9">
        <v>4864014</v>
      </c>
      <c r="F1449" s="12"/>
      <c r="G1449" s="9">
        <v>4869229</v>
      </c>
      <c r="I1449" s="274"/>
      <c r="K1449" s="9">
        <f>1014-464</f>
        <v>550</v>
      </c>
      <c r="L1449" s="9">
        <v>39464</v>
      </c>
      <c r="M1449" s="10">
        <v>1981</v>
      </c>
      <c r="N1449" s="9" t="s">
        <v>96</v>
      </c>
      <c r="O1449" s="10"/>
    </row>
    <row r="1450" spans="2:15" s="9" customFormat="1" ht="12.75">
      <c r="B1450" s="16"/>
      <c r="E1450" s="10">
        <v>4864016</v>
      </c>
      <c r="F1450" s="12"/>
      <c r="G1450" s="9">
        <v>4869771</v>
      </c>
      <c r="H1450" s="9">
        <v>4864966</v>
      </c>
      <c r="I1450" s="274"/>
      <c r="K1450" s="9">
        <f>1016-466</f>
        <v>550</v>
      </c>
      <c r="L1450" s="10">
        <v>39466</v>
      </c>
      <c r="M1450" s="10">
        <v>1981</v>
      </c>
      <c r="O1450" s="10"/>
    </row>
    <row r="1451" spans="1:15" s="9" customFormat="1" ht="12.75">
      <c r="A1451" s="9" t="s">
        <v>6</v>
      </c>
      <c r="B1451" s="30">
        <v>709</v>
      </c>
      <c r="E1451" s="83"/>
      <c r="F1451" s="9">
        <f aca="true" t="shared" si="50" ref="F1451:F1468">G1451-H1451</f>
        <v>11255</v>
      </c>
      <c r="G1451" s="9">
        <v>4869800</v>
      </c>
      <c r="H1451" s="9">
        <v>4858545</v>
      </c>
      <c r="I1451" s="274"/>
      <c r="K1451" s="9">
        <f>800-467</f>
        <v>333</v>
      </c>
      <c r="L1451" s="10">
        <v>39467</v>
      </c>
      <c r="M1451" s="10"/>
      <c r="O1451" s="10"/>
    </row>
    <row r="1452" spans="1:15" s="9" customFormat="1" ht="12.75">
      <c r="A1452" s="9" t="s">
        <v>6</v>
      </c>
      <c r="B1452" s="30">
        <v>709</v>
      </c>
      <c r="E1452" s="83"/>
      <c r="F1452" s="9">
        <f t="shared" si="50"/>
        <v>11257</v>
      </c>
      <c r="G1452" s="9">
        <v>4869805</v>
      </c>
      <c r="H1452" s="70">
        <v>4858548</v>
      </c>
      <c r="I1452" s="274"/>
      <c r="J1452" s="70"/>
      <c r="L1452" s="10"/>
      <c r="M1452" s="13" t="s">
        <v>351</v>
      </c>
      <c r="N1452" s="9" t="s">
        <v>96</v>
      </c>
      <c r="O1452" s="10">
        <v>2008</v>
      </c>
    </row>
    <row r="1453" spans="1:15" s="9" customFormat="1" ht="12.75">
      <c r="A1453" s="9" t="s">
        <v>6</v>
      </c>
      <c r="B1453" s="30">
        <v>709</v>
      </c>
      <c r="E1453" s="83"/>
      <c r="F1453" s="9">
        <f t="shared" si="50"/>
        <v>11258</v>
      </c>
      <c r="G1453" s="9">
        <v>4869807</v>
      </c>
      <c r="H1453" s="9">
        <v>4858549</v>
      </c>
      <c r="I1453" s="274"/>
      <c r="K1453" s="9">
        <f>807-474</f>
        <v>333</v>
      </c>
      <c r="L1453" s="10">
        <v>39474</v>
      </c>
      <c r="M1453" s="10"/>
      <c r="O1453" s="10"/>
    </row>
    <row r="1454" spans="1:15" s="9" customFormat="1" ht="12.75">
      <c r="A1454" s="9" t="s">
        <v>6</v>
      </c>
      <c r="B1454" s="30">
        <v>709</v>
      </c>
      <c r="E1454" s="83"/>
      <c r="F1454" s="9">
        <f t="shared" si="50"/>
        <v>11258</v>
      </c>
      <c r="G1454" s="9">
        <v>4869809</v>
      </c>
      <c r="H1454" s="107">
        <v>4858551</v>
      </c>
      <c r="I1454" s="274"/>
      <c r="J1454" s="107"/>
      <c r="K1454" s="9">
        <v>333</v>
      </c>
      <c r="L1454" s="10">
        <v>39476</v>
      </c>
      <c r="M1454" s="13" t="s">
        <v>351</v>
      </c>
      <c r="N1454" s="9" t="s">
        <v>96</v>
      </c>
      <c r="O1454" s="10">
        <v>2008</v>
      </c>
    </row>
    <row r="1455" spans="1:15" s="9" customFormat="1" ht="12.75">
      <c r="A1455" s="9" t="s">
        <v>6</v>
      </c>
      <c r="B1455" s="30">
        <v>709</v>
      </c>
      <c r="E1455" s="83"/>
      <c r="F1455" s="9">
        <f t="shared" si="50"/>
        <v>11259</v>
      </c>
      <c r="G1455" s="9">
        <v>4869811</v>
      </c>
      <c r="H1455" s="9">
        <v>4858552</v>
      </c>
      <c r="I1455" s="274"/>
      <c r="K1455" s="9">
        <f>811-478</f>
        <v>333</v>
      </c>
      <c r="L1455" s="10">
        <v>39478</v>
      </c>
      <c r="M1455" s="10"/>
      <c r="O1455" s="10"/>
    </row>
    <row r="1456" spans="1:15" s="9" customFormat="1" ht="12.75">
      <c r="A1456" s="9" t="s">
        <v>6</v>
      </c>
      <c r="B1456" s="30">
        <v>709</v>
      </c>
      <c r="E1456" s="83"/>
      <c r="F1456" s="9">
        <f t="shared" si="50"/>
        <v>11261</v>
      </c>
      <c r="G1456" s="9">
        <v>4869817</v>
      </c>
      <c r="H1456" s="62">
        <v>4858556</v>
      </c>
      <c r="I1456" s="274"/>
      <c r="J1456" s="62"/>
      <c r="K1456" s="9">
        <v>333</v>
      </c>
      <c r="L1456" s="10">
        <v>39484</v>
      </c>
      <c r="M1456" s="13" t="s">
        <v>352</v>
      </c>
      <c r="N1456" s="9" t="s">
        <v>96</v>
      </c>
      <c r="O1456" s="10">
        <v>2008</v>
      </c>
    </row>
    <row r="1457" spans="1:15" s="9" customFormat="1" ht="12.75">
      <c r="A1457" s="9" t="s">
        <v>6</v>
      </c>
      <c r="B1457" s="30">
        <v>709</v>
      </c>
      <c r="E1457" s="83"/>
      <c r="F1457" s="9">
        <f t="shared" si="50"/>
        <v>11264</v>
      </c>
      <c r="G1457" s="9">
        <v>4869822</v>
      </c>
      <c r="H1457" s="62">
        <v>4858558</v>
      </c>
      <c r="I1457" s="274"/>
      <c r="J1457" s="62"/>
      <c r="K1457" s="9">
        <v>333</v>
      </c>
      <c r="L1457" s="10">
        <v>39489</v>
      </c>
      <c r="M1457" s="13" t="s">
        <v>352</v>
      </c>
      <c r="N1457" s="9" t="s">
        <v>96</v>
      </c>
      <c r="O1457" s="10">
        <v>2008</v>
      </c>
    </row>
    <row r="1458" spans="2:15" s="9" customFormat="1" ht="12.75">
      <c r="B1458" s="30"/>
      <c r="E1458" s="83"/>
      <c r="F1458" s="198">
        <f t="shared" si="50"/>
        <v>11270</v>
      </c>
      <c r="G1458" s="198">
        <v>4869833</v>
      </c>
      <c r="H1458" s="62">
        <v>4858563</v>
      </c>
      <c r="I1458" s="274"/>
      <c r="J1458" s="62"/>
      <c r="L1458" s="273">
        <v>39500</v>
      </c>
      <c r="M1458" s="13" t="s">
        <v>353</v>
      </c>
      <c r="N1458" s="198" t="s">
        <v>96</v>
      </c>
      <c r="O1458" s="10">
        <v>2020</v>
      </c>
    </row>
    <row r="1459" spans="1:15" s="9" customFormat="1" ht="12.75">
      <c r="A1459" s="9" t="s">
        <v>6</v>
      </c>
      <c r="B1459" s="30">
        <v>709</v>
      </c>
      <c r="E1459" s="61"/>
      <c r="F1459" s="9">
        <f t="shared" si="50"/>
        <v>11271</v>
      </c>
      <c r="G1459" s="9">
        <v>4869835</v>
      </c>
      <c r="H1459" s="106">
        <v>4858564</v>
      </c>
      <c r="I1459" s="274"/>
      <c r="J1459" s="106"/>
      <c r="M1459" s="13" t="s">
        <v>353</v>
      </c>
      <c r="N1459" s="9" t="s">
        <v>96</v>
      </c>
      <c r="O1459" s="10">
        <v>2008</v>
      </c>
    </row>
    <row r="1460" spans="1:15" s="9" customFormat="1" ht="12.75">
      <c r="A1460" s="9" t="s">
        <v>6</v>
      </c>
      <c r="B1460" s="30">
        <v>709</v>
      </c>
      <c r="E1460" s="61"/>
      <c r="F1460" s="9">
        <f t="shared" si="50"/>
        <v>11273</v>
      </c>
      <c r="G1460" s="9">
        <v>4869841</v>
      </c>
      <c r="H1460" s="11">
        <v>4858568</v>
      </c>
      <c r="J1460" s="11"/>
      <c r="K1460" s="9">
        <f>841-508</f>
        <v>333</v>
      </c>
      <c r="L1460" s="9">
        <v>39508</v>
      </c>
      <c r="M1460" s="10">
        <v>1981</v>
      </c>
      <c r="N1460" s="9" t="s">
        <v>96</v>
      </c>
      <c r="O1460" s="10">
        <v>2005</v>
      </c>
    </row>
    <row r="1461" spans="2:15" s="9" customFormat="1" ht="12.75">
      <c r="B1461" s="30"/>
      <c r="C1461" s="9" t="s">
        <v>166</v>
      </c>
      <c r="E1461" s="61"/>
      <c r="F1461" s="9">
        <f t="shared" si="50"/>
        <v>11275</v>
      </c>
      <c r="G1461" s="9">
        <v>4869847</v>
      </c>
      <c r="H1461" s="11">
        <v>4858572</v>
      </c>
      <c r="J1461" s="11"/>
      <c r="K1461" s="9">
        <v>333</v>
      </c>
      <c r="L1461" s="9">
        <v>39514</v>
      </c>
      <c r="M1461" s="10">
        <v>1981</v>
      </c>
      <c r="N1461" s="9" t="s">
        <v>96</v>
      </c>
      <c r="O1461" s="10">
        <v>2009</v>
      </c>
    </row>
    <row r="1462" spans="2:15" s="9" customFormat="1" ht="12.75">
      <c r="B1462" s="30"/>
      <c r="E1462" s="61"/>
      <c r="F1462" s="9">
        <f t="shared" si="50"/>
        <v>11275</v>
      </c>
      <c r="G1462" s="9">
        <v>4869848</v>
      </c>
      <c r="H1462" s="11">
        <v>4858573</v>
      </c>
      <c r="J1462" s="11"/>
      <c r="K1462" s="9">
        <v>333</v>
      </c>
      <c r="L1462" s="9">
        <v>39515</v>
      </c>
      <c r="M1462" s="10">
        <v>1981</v>
      </c>
      <c r="N1462" s="9" t="s">
        <v>96</v>
      </c>
      <c r="O1462" s="10" t="s">
        <v>51</v>
      </c>
    </row>
    <row r="1463" spans="1:15" s="9" customFormat="1" ht="12.75">
      <c r="A1463" s="9" t="s">
        <v>6</v>
      </c>
      <c r="B1463" s="30">
        <v>709</v>
      </c>
      <c r="E1463" s="61"/>
      <c r="F1463" s="9">
        <f t="shared" si="50"/>
        <v>11275</v>
      </c>
      <c r="G1463" s="9">
        <v>4869850</v>
      </c>
      <c r="H1463" s="11">
        <v>4858575</v>
      </c>
      <c r="J1463" s="11"/>
      <c r="K1463" s="9">
        <f>850-517</f>
        <v>333</v>
      </c>
      <c r="L1463" s="9">
        <v>39517</v>
      </c>
      <c r="M1463" s="13" t="s">
        <v>354</v>
      </c>
      <c r="N1463" s="9" t="s">
        <v>96</v>
      </c>
      <c r="O1463" s="10">
        <v>2008</v>
      </c>
    </row>
    <row r="1464" spans="1:15" s="9" customFormat="1" ht="12.75">
      <c r="A1464" s="9" t="s">
        <v>6</v>
      </c>
      <c r="B1464" s="30">
        <v>709</v>
      </c>
      <c r="E1464" s="61"/>
      <c r="F1464" s="9">
        <f t="shared" si="50"/>
        <v>11275</v>
      </c>
      <c r="G1464" s="9">
        <v>4869852</v>
      </c>
      <c r="H1464" s="9">
        <v>4858577</v>
      </c>
      <c r="K1464" s="9">
        <f>852-519</f>
        <v>333</v>
      </c>
      <c r="L1464" s="9">
        <v>39519</v>
      </c>
      <c r="M1464" s="10"/>
      <c r="O1464" s="10"/>
    </row>
    <row r="1465" spans="1:15" s="9" customFormat="1" ht="12.75">
      <c r="A1465" s="9" t="s">
        <v>6</v>
      </c>
      <c r="B1465" s="30">
        <v>709</v>
      </c>
      <c r="E1465" s="61"/>
      <c r="F1465" s="9">
        <f t="shared" si="50"/>
        <v>11276</v>
      </c>
      <c r="G1465" s="9">
        <v>4869858</v>
      </c>
      <c r="H1465" s="103">
        <v>4858582</v>
      </c>
      <c r="J1465" s="111" t="s">
        <v>355</v>
      </c>
      <c r="M1465" s="13" t="s">
        <v>354</v>
      </c>
      <c r="N1465" s="9" t="s">
        <v>96</v>
      </c>
      <c r="O1465" s="10">
        <v>2009</v>
      </c>
    </row>
    <row r="1466" spans="1:15" s="9" customFormat="1" ht="12.75">
      <c r="A1466" s="9" t="s">
        <v>6</v>
      </c>
      <c r="B1466" s="30">
        <v>709</v>
      </c>
      <c r="E1466" s="61"/>
      <c r="F1466" s="9">
        <f t="shared" si="50"/>
        <v>11276</v>
      </c>
      <c r="G1466" s="9">
        <v>4869859</v>
      </c>
      <c r="H1466" s="9">
        <v>4858583</v>
      </c>
      <c r="K1466" s="9">
        <f>859-526</f>
        <v>333</v>
      </c>
      <c r="L1466" s="9">
        <v>39526</v>
      </c>
      <c r="M1466" s="10"/>
      <c r="O1466" s="10"/>
    </row>
    <row r="1467" spans="1:15" s="9" customFormat="1" ht="12.75">
      <c r="A1467" s="9" t="s">
        <v>6</v>
      </c>
      <c r="B1467" s="30">
        <v>709</v>
      </c>
      <c r="E1467" s="61"/>
      <c r="F1467" s="9">
        <f t="shared" si="50"/>
        <v>11276</v>
      </c>
      <c r="G1467" s="9">
        <v>4869864</v>
      </c>
      <c r="H1467" s="11">
        <v>4858588</v>
      </c>
      <c r="J1467" s="11"/>
      <c r="M1467" s="10">
        <v>1981</v>
      </c>
      <c r="N1467" s="9" t="s">
        <v>96</v>
      </c>
      <c r="O1467" s="10">
        <v>2006</v>
      </c>
    </row>
    <row r="1468" spans="2:15" s="9" customFormat="1" ht="12.75">
      <c r="B1468" s="30"/>
      <c r="E1468" s="61"/>
      <c r="F1468" s="9">
        <f t="shared" si="50"/>
        <v>11276</v>
      </c>
      <c r="G1468" s="9">
        <v>4869865</v>
      </c>
      <c r="H1468" s="11">
        <v>4858589</v>
      </c>
      <c r="J1468" s="11"/>
      <c r="K1468" s="9">
        <v>333</v>
      </c>
      <c r="L1468" s="9">
        <v>39532</v>
      </c>
      <c r="M1468" s="10">
        <v>1981</v>
      </c>
      <c r="N1468" s="9" t="s">
        <v>96</v>
      </c>
      <c r="O1468" s="10" t="s">
        <v>51</v>
      </c>
    </row>
    <row r="1469" spans="2:15" s="9" customFormat="1" ht="12.75">
      <c r="B1469" s="30"/>
      <c r="E1469" s="61"/>
      <c r="F1469" s="12"/>
      <c r="G1469" s="53">
        <v>4869867</v>
      </c>
      <c r="H1469" s="11"/>
      <c r="I1469" s="11"/>
      <c r="J1469" s="11"/>
      <c r="M1469" s="10">
        <v>1981</v>
      </c>
      <c r="N1469" s="9" t="s">
        <v>96</v>
      </c>
      <c r="O1469" s="10">
        <v>1994</v>
      </c>
    </row>
    <row r="1470" spans="2:15" s="9" customFormat="1" ht="12.75">
      <c r="B1470" s="30"/>
      <c r="E1470" s="61"/>
      <c r="F1470" s="9">
        <f aca="true" t="shared" si="51" ref="F1470:F1476">G1470-H1470</f>
        <v>11276</v>
      </c>
      <c r="G1470" s="222">
        <v>4869868</v>
      </c>
      <c r="H1470" s="11">
        <v>4858592</v>
      </c>
      <c r="I1470" s="11"/>
      <c r="J1470" s="11"/>
      <c r="L1470" s="9">
        <v>39535</v>
      </c>
      <c r="M1470" s="10">
        <v>1981</v>
      </c>
      <c r="N1470" s="198" t="s">
        <v>96</v>
      </c>
      <c r="O1470" s="10"/>
    </row>
    <row r="1471" spans="1:15" s="9" customFormat="1" ht="12.75">
      <c r="A1471" s="9" t="s">
        <v>6</v>
      </c>
      <c r="B1471" s="30">
        <v>709</v>
      </c>
      <c r="E1471" s="61"/>
      <c r="F1471" s="9">
        <f t="shared" si="51"/>
        <v>11276</v>
      </c>
      <c r="G1471" s="9">
        <v>4869870</v>
      </c>
      <c r="H1471" s="11">
        <v>4858594</v>
      </c>
      <c r="J1471" s="11"/>
      <c r="K1471" s="9">
        <f>870-537</f>
        <v>333</v>
      </c>
      <c r="L1471" s="9">
        <v>39537</v>
      </c>
      <c r="M1471" s="10">
        <v>1981</v>
      </c>
      <c r="N1471" s="9" t="s">
        <v>96</v>
      </c>
      <c r="O1471" s="10">
        <v>2006</v>
      </c>
    </row>
    <row r="1472" spans="1:15" s="9" customFormat="1" ht="12.75">
      <c r="A1472" s="9" t="s">
        <v>6</v>
      </c>
      <c r="B1472" s="30">
        <v>709</v>
      </c>
      <c r="E1472" s="61"/>
      <c r="F1472" s="9">
        <f t="shared" si="51"/>
        <v>11276</v>
      </c>
      <c r="G1472" s="9">
        <v>4869871</v>
      </c>
      <c r="H1472" s="11">
        <v>4858595</v>
      </c>
      <c r="J1472" s="11"/>
      <c r="K1472" s="9">
        <f>871-538</f>
        <v>333</v>
      </c>
      <c r="L1472" s="9">
        <v>39538</v>
      </c>
      <c r="M1472" s="10"/>
      <c r="O1472" s="10">
        <v>2006</v>
      </c>
    </row>
    <row r="1473" spans="1:15" s="9" customFormat="1" ht="12.75">
      <c r="A1473" s="9" t="s">
        <v>6</v>
      </c>
      <c r="B1473" s="30">
        <v>709</v>
      </c>
      <c r="E1473" s="61"/>
      <c r="F1473" s="9">
        <f t="shared" si="51"/>
        <v>11277</v>
      </c>
      <c r="G1473" s="9">
        <v>4869874</v>
      </c>
      <c r="H1473" s="9">
        <v>4858597</v>
      </c>
      <c r="K1473" s="9">
        <f>874-541</f>
        <v>333</v>
      </c>
      <c r="L1473" s="9">
        <v>39541</v>
      </c>
      <c r="M1473" s="10">
        <v>1981</v>
      </c>
      <c r="N1473" s="9" t="s">
        <v>96</v>
      </c>
      <c r="O1473" s="10"/>
    </row>
    <row r="1474" spans="1:15" s="9" customFormat="1" ht="12.75">
      <c r="A1474" s="9" t="s">
        <v>6</v>
      </c>
      <c r="B1474" s="30">
        <v>709</v>
      </c>
      <c r="E1474" s="61"/>
      <c r="F1474" s="9">
        <f t="shared" si="51"/>
        <v>11277</v>
      </c>
      <c r="G1474" s="9">
        <v>4869876</v>
      </c>
      <c r="H1474" s="82">
        <v>4858599</v>
      </c>
      <c r="K1474" s="9">
        <f>876-543</f>
        <v>333</v>
      </c>
      <c r="L1474" s="9">
        <v>39543</v>
      </c>
      <c r="M1474" s="10">
        <v>1981</v>
      </c>
      <c r="N1474" s="9" t="s">
        <v>96</v>
      </c>
      <c r="O1474" s="10" t="s">
        <v>48</v>
      </c>
    </row>
    <row r="1475" spans="2:15" s="9" customFormat="1" ht="12.75">
      <c r="B1475" s="30"/>
      <c r="E1475" s="61"/>
      <c r="F1475" s="9">
        <f t="shared" si="51"/>
        <v>11277</v>
      </c>
      <c r="G1475" s="9">
        <v>4869879</v>
      </c>
      <c r="H1475" s="39">
        <v>4858602</v>
      </c>
      <c r="K1475" s="9">
        <v>333</v>
      </c>
      <c r="L1475" s="9">
        <v>39546</v>
      </c>
      <c r="M1475" s="10">
        <v>1981</v>
      </c>
      <c r="N1475" s="9" t="s">
        <v>96</v>
      </c>
      <c r="O1475" s="10" t="s">
        <v>30</v>
      </c>
    </row>
    <row r="1476" spans="2:15" s="9" customFormat="1" ht="12.75">
      <c r="B1476" s="30"/>
      <c r="C1476" s="9" t="s">
        <v>166</v>
      </c>
      <c r="E1476" s="61"/>
      <c r="F1476" s="9">
        <f t="shared" si="51"/>
        <v>11277</v>
      </c>
      <c r="G1476" s="198">
        <v>4869881</v>
      </c>
      <c r="H1476" s="39">
        <v>4858604</v>
      </c>
      <c r="K1476" s="9">
        <v>333</v>
      </c>
      <c r="L1476" s="198">
        <v>39548</v>
      </c>
      <c r="M1476" s="10">
        <v>1981</v>
      </c>
      <c r="N1476" s="198" t="s">
        <v>96</v>
      </c>
      <c r="O1476" s="10">
        <v>2010</v>
      </c>
    </row>
    <row r="1477" spans="1:15" s="2" customFormat="1" ht="13.5" thickBot="1">
      <c r="A1477" s="2" t="s">
        <v>6</v>
      </c>
      <c r="B1477" s="14">
        <v>709</v>
      </c>
      <c r="D1477" s="4" t="s">
        <v>356</v>
      </c>
      <c r="E1477" s="8"/>
      <c r="F1477" s="4"/>
      <c r="G1477" s="2">
        <v>4869882</v>
      </c>
      <c r="L1477" s="6" t="s">
        <v>357</v>
      </c>
      <c r="M1477" s="6"/>
      <c r="O1477" s="6"/>
    </row>
    <row r="1478" spans="2:15" s="9" customFormat="1" ht="12.75">
      <c r="B1478" s="16"/>
      <c r="E1478" s="38">
        <v>4864017</v>
      </c>
      <c r="F1478" s="12"/>
      <c r="G1478" s="9">
        <v>0</v>
      </c>
      <c r="H1478" s="9">
        <v>0</v>
      </c>
      <c r="L1478" s="10"/>
      <c r="M1478" s="10">
        <v>1983</v>
      </c>
      <c r="N1478" s="9" t="s">
        <v>96</v>
      </c>
      <c r="O1478" s="10">
        <v>2009</v>
      </c>
    </row>
    <row r="1479" spans="2:15" s="9" customFormat="1" ht="12.75">
      <c r="B1479" s="16"/>
      <c r="E1479" s="10">
        <v>4864019</v>
      </c>
      <c r="F1479" s="12"/>
      <c r="G1479" s="9">
        <v>4869779</v>
      </c>
      <c r="K1479" s="9">
        <f>1019-593</f>
        <v>426</v>
      </c>
      <c r="L1479" s="10">
        <v>40593</v>
      </c>
      <c r="M1479" s="10"/>
      <c r="O1479" s="10"/>
    </row>
    <row r="1480" spans="2:15" s="9" customFormat="1" ht="12.75">
      <c r="B1480" s="16"/>
      <c r="C1480" s="10" t="s">
        <v>343</v>
      </c>
      <c r="D1480" s="9" t="s">
        <v>358</v>
      </c>
      <c r="E1480" s="10">
        <v>4864020</v>
      </c>
      <c r="F1480" s="12"/>
      <c r="G1480" s="9">
        <v>4869755</v>
      </c>
      <c r="H1480" s="11">
        <v>4864950</v>
      </c>
      <c r="I1480" s="276" t="s">
        <v>359</v>
      </c>
      <c r="J1480" s="277">
        <f>950-7</f>
        <v>943</v>
      </c>
      <c r="K1480" s="9">
        <f>1020-594</f>
        <v>426</v>
      </c>
      <c r="L1480" s="10">
        <v>40594</v>
      </c>
      <c r="M1480" s="10">
        <v>1983</v>
      </c>
      <c r="N1480" s="9" t="s">
        <v>171</v>
      </c>
      <c r="O1480" s="10">
        <v>2008</v>
      </c>
    </row>
    <row r="1481" spans="2:15" s="9" customFormat="1" ht="12.75">
      <c r="B1481" s="16"/>
      <c r="E1481" s="10">
        <v>4864021</v>
      </c>
      <c r="F1481" s="12"/>
      <c r="G1481" s="9">
        <v>4869732</v>
      </c>
      <c r="I1481" s="274"/>
      <c r="J1481" s="277"/>
      <c r="K1481" s="9">
        <f>1021-595</f>
        <v>426</v>
      </c>
      <c r="L1481" s="10">
        <v>40595</v>
      </c>
      <c r="M1481" s="10"/>
      <c r="O1481" s="10"/>
    </row>
    <row r="1482" spans="2:15" s="9" customFormat="1" ht="12.75">
      <c r="B1482" s="16"/>
      <c r="E1482" s="10">
        <v>4864022</v>
      </c>
      <c r="F1482" s="12"/>
      <c r="G1482" s="9">
        <v>4869761</v>
      </c>
      <c r="H1482" s="39">
        <v>4864956</v>
      </c>
      <c r="I1482" s="275" t="s">
        <v>360</v>
      </c>
      <c r="J1482" s="277"/>
      <c r="L1482" s="10"/>
      <c r="M1482" s="10">
        <v>1983</v>
      </c>
      <c r="N1482" s="9" t="s">
        <v>171</v>
      </c>
      <c r="O1482" s="10" t="s">
        <v>30</v>
      </c>
    </row>
    <row r="1483" spans="2:15" s="9" customFormat="1" ht="12.75">
      <c r="B1483" s="16"/>
      <c r="C1483" s="10" t="s">
        <v>343</v>
      </c>
      <c r="D1483" s="9" t="s">
        <v>361</v>
      </c>
      <c r="E1483" s="10">
        <v>4864023</v>
      </c>
      <c r="F1483" s="12"/>
      <c r="G1483" s="9">
        <v>4869794</v>
      </c>
      <c r="H1483" s="77">
        <v>4864989</v>
      </c>
      <c r="I1483" s="276" t="s">
        <v>362</v>
      </c>
      <c r="J1483" s="277">
        <f>989-45</f>
        <v>944</v>
      </c>
      <c r="K1483" s="9">
        <f>1023-597</f>
        <v>426</v>
      </c>
      <c r="L1483" s="10">
        <v>40597</v>
      </c>
      <c r="M1483" s="13" t="s">
        <v>363</v>
      </c>
      <c r="N1483" s="9" t="s">
        <v>171</v>
      </c>
      <c r="O1483" s="10">
        <v>2008</v>
      </c>
    </row>
    <row r="1484" spans="2:15" s="9" customFormat="1" ht="12.75">
      <c r="B1484" s="16"/>
      <c r="C1484" s="10"/>
      <c r="E1484" s="10">
        <v>4864026</v>
      </c>
      <c r="F1484" s="12"/>
      <c r="G1484" s="66">
        <v>4869213</v>
      </c>
      <c r="H1484" s="77"/>
      <c r="I1484" s="274"/>
      <c r="J1484" s="277"/>
      <c r="L1484" s="10"/>
      <c r="M1484" s="13"/>
      <c r="O1484" s="10" t="s">
        <v>116</v>
      </c>
    </row>
    <row r="1485" spans="2:15" s="9" customFormat="1" ht="12.75">
      <c r="B1485" s="16"/>
      <c r="E1485" s="10">
        <v>4864027</v>
      </c>
      <c r="F1485" s="12"/>
      <c r="G1485" s="9">
        <v>4869237</v>
      </c>
      <c r="I1485" s="274"/>
      <c r="J1485" s="277"/>
      <c r="K1485" s="9">
        <f>1027-601</f>
        <v>426</v>
      </c>
      <c r="L1485" s="10">
        <v>40601</v>
      </c>
      <c r="M1485" s="10"/>
      <c r="O1485" s="10"/>
    </row>
    <row r="1486" spans="2:15" s="9" customFormat="1" ht="12.75">
      <c r="B1486" s="16" t="s">
        <v>281</v>
      </c>
      <c r="E1486" s="11">
        <v>4864032</v>
      </c>
      <c r="F1486" s="12"/>
      <c r="G1486" s="9">
        <v>0</v>
      </c>
      <c r="H1486" s="9">
        <v>0</v>
      </c>
      <c r="I1486" s="274"/>
      <c r="J1486" s="277"/>
      <c r="K1486" s="9">
        <f>1032-606</f>
        <v>426</v>
      </c>
      <c r="L1486" s="9">
        <v>40606</v>
      </c>
      <c r="M1486" s="10">
        <v>1983</v>
      </c>
      <c r="N1486" s="9" t="s">
        <v>96</v>
      </c>
      <c r="O1486" s="10">
        <v>2006</v>
      </c>
    </row>
    <row r="1487" spans="2:15" s="9" customFormat="1" ht="12.75">
      <c r="B1487" s="30">
        <v>709</v>
      </c>
      <c r="C1487" s="10" t="s">
        <v>343</v>
      </c>
      <c r="D1487" s="9" t="s">
        <v>364</v>
      </c>
      <c r="E1487" s="9">
        <v>4864045</v>
      </c>
      <c r="F1487" s="12"/>
      <c r="G1487" s="9">
        <v>4869723</v>
      </c>
      <c r="H1487" s="269">
        <v>4858518</v>
      </c>
      <c r="I1487" s="276" t="s">
        <v>365</v>
      </c>
      <c r="J1487" s="277">
        <f>518-74</f>
        <v>444</v>
      </c>
      <c r="K1487" s="9">
        <f>1045-619</f>
        <v>426</v>
      </c>
      <c r="L1487" s="9">
        <v>40619</v>
      </c>
      <c r="M1487" s="13" t="s">
        <v>366</v>
      </c>
      <c r="N1487" s="198" t="s">
        <v>96</v>
      </c>
      <c r="O1487" s="10">
        <v>2020</v>
      </c>
    </row>
    <row r="1488" spans="2:15" s="9" customFormat="1" ht="12.75">
      <c r="B1488" s="16"/>
      <c r="C1488" s="10" t="s">
        <v>343</v>
      </c>
      <c r="D1488" s="9" t="s">
        <v>367</v>
      </c>
      <c r="E1488" s="9">
        <v>4864048</v>
      </c>
      <c r="F1488" s="12"/>
      <c r="G1488" s="9">
        <v>4869780</v>
      </c>
      <c r="H1488" s="11">
        <v>4864975</v>
      </c>
      <c r="I1488" s="276" t="s">
        <v>368</v>
      </c>
      <c r="J1488" s="277">
        <f>975-31</f>
        <v>944</v>
      </c>
      <c r="K1488" s="9">
        <f>1048-622</f>
        <v>426</v>
      </c>
      <c r="L1488" s="9">
        <v>40622</v>
      </c>
      <c r="M1488" s="10">
        <v>1983</v>
      </c>
      <c r="N1488" s="9" t="s">
        <v>96</v>
      </c>
      <c r="O1488" s="10">
        <v>2008</v>
      </c>
    </row>
    <row r="1489" spans="2:15" s="9" customFormat="1" ht="12.75">
      <c r="B1489" s="16"/>
      <c r="E1489" s="9">
        <v>4864049</v>
      </c>
      <c r="F1489" s="12"/>
      <c r="G1489" s="9">
        <v>4869707</v>
      </c>
      <c r="I1489" s="274"/>
      <c r="J1489" s="277"/>
      <c r="K1489" s="9">
        <f>1049-623</f>
        <v>426</v>
      </c>
      <c r="L1489" s="9">
        <v>40623</v>
      </c>
      <c r="M1489" s="10"/>
      <c r="O1489" s="10"/>
    </row>
    <row r="1490" spans="2:15" s="9" customFormat="1" ht="12.75">
      <c r="B1490" s="16"/>
      <c r="E1490" s="11">
        <v>4864050</v>
      </c>
      <c r="F1490" s="12"/>
      <c r="G1490" s="9">
        <v>0</v>
      </c>
      <c r="H1490" s="9">
        <v>0</v>
      </c>
      <c r="I1490" s="274"/>
      <c r="J1490" s="277"/>
      <c r="K1490" s="9">
        <f>1050-624</f>
        <v>426</v>
      </c>
      <c r="L1490" s="9">
        <v>40624</v>
      </c>
      <c r="M1490" s="13" t="s">
        <v>366</v>
      </c>
      <c r="N1490" s="9" t="s">
        <v>96</v>
      </c>
      <c r="O1490" s="13" t="s">
        <v>369</v>
      </c>
    </row>
    <row r="1491" spans="2:15" s="9" customFormat="1" ht="12.75">
      <c r="B1491" s="16"/>
      <c r="E1491" s="9">
        <v>4864054</v>
      </c>
      <c r="F1491" s="12"/>
      <c r="G1491" s="9">
        <v>4869753</v>
      </c>
      <c r="H1491" s="9">
        <v>4864948</v>
      </c>
      <c r="I1491" s="274"/>
      <c r="J1491" s="277"/>
      <c r="K1491" s="9">
        <f>1054-628</f>
        <v>426</v>
      </c>
      <c r="L1491" s="9">
        <v>40628</v>
      </c>
      <c r="M1491" s="10"/>
      <c r="O1491" s="10"/>
    </row>
    <row r="1492" spans="2:15" s="9" customFormat="1" ht="12.75">
      <c r="B1492" s="16"/>
      <c r="E1492" s="67">
        <v>4864067</v>
      </c>
      <c r="F1492" s="12"/>
      <c r="G1492" s="9">
        <v>0</v>
      </c>
      <c r="H1492" s="9">
        <v>0</v>
      </c>
      <c r="I1492" s="274"/>
      <c r="J1492" s="277"/>
      <c r="M1492" s="13" t="s">
        <v>370</v>
      </c>
      <c r="N1492" s="9" t="s">
        <v>171</v>
      </c>
      <c r="O1492" s="10">
        <v>2008</v>
      </c>
    </row>
    <row r="1493" spans="2:15" s="9" customFormat="1" ht="12.75">
      <c r="B1493" s="16"/>
      <c r="C1493" s="10" t="s">
        <v>343</v>
      </c>
      <c r="D1493" s="9" t="s">
        <v>371</v>
      </c>
      <c r="E1493" s="9">
        <v>4864069</v>
      </c>
      <c r="F1493" s="12"/>
      <c r="G1493" s="9">
        <v>4869790</v>
      </c>
      <c r="H1493" s="11">
        <v>4864985</v>
      </c>
      <c r="I1493" s="276" t="s">
        <v>372</v>
      </c>
      <c r="J1493" s="277">
        <f>985-41</f>
        <v>944</v>
      </c>
      <c r="K1493" s="9">
        <f>1069-643</f>
        <v>426</v>
      </c>
      <c r="L1493" s="9">
        <v>40643</v>
      </c>
      <c r="M1493" s="10">
        <v>1983</v>
      </c>
      <c r="N1493" s="9" t="s">
        <v>171</v>
      </c>
      <c r="O1493" s="10">
        <v>2008</v>
      </c>
    </row>
    <row r="1494" spans="2:15" s="9" customFormat="1" ht="12.75">
      <c r="B1494" s="16"/>
      <c r="E1494" s="9">
        <v>4864071</v>
      </c>
      <c r="F1494" s="12"/>
      <c r="G1494" s="9">
        <v>4869784</v>
      </c>
      <c r="H1494" s="9">
        <v>4864979</v>
      </c>
      <c r="I1494" s="274"/>
      <c r="K1494" s="9">
        <f>1071-645</f>
        <v>426</v>
      </c>
      <c r="L1494" s="9">
        <v>40645</v>
      </c>
      <c r="M1494" s="10"/>
      <c r="O1494" s="10"/>
    </row>
    <row r="1495" spans="2:15" s="9" customFormat="1" ht="12.75">
      <c r="B1495" s="16"/>
      <c r="E1495" s="201">
        <v>4864072</v>
      </c>
      <c r="F1495" s="12"/>
      <c r="G1495" s="198">
        <v>0</v>
      </c>
      <c r="H1495" s="9">
        <v>0</v>
      </c>
      <c r="I1495" s="274"/>
      <c r="J1495" s="9" t="s">
        <v>373</v>
      </c>
      <c r="K1495" s="198">
        <v>426</v>
      </c>
      <c r="L1495" s="248">
        <v>40646</v>
      </c>
      <c r="M1495" s="13" t="s">
        <v>370</v>
      </c>
      <c r="N1495" s="198" t="s">
        <v>96</v>
      </c>
      <c r="O1495" s="10">
        <v>2010</v>
      </c>
    </row>
    <row r="1496" spans="2:15" s="9" customFormat="1" ht="12.75">
      <c r="B1496" s="16"/>
      <c r="E1496" s="9">
        <v>4864074</v>
      </c>
      <c r="F1496" s="12"/>
      <c r="G1496" s="9">
        <v>4869235</v>
      </c>
      <c r="I1496" s="274"/>
      <c r="K1496" s="9">
        <f>1074-648</f>
        <v>426</v>
      </c>
      <c r="L1496" s="9">
        <v>40648</v>
      </c>
      <c r="M1496" s="10"/>
      <c r="O1496" s="10"/>
    </row>
    <row r="1497" spans="2:15" s="9" customFormat="1" ht="12.75">
      <c r="B1497" s="16"/>
      <c r="E1497" s="198">
        <v>4864076</v>
      </c>
      <c r="F1497" s="12"/>
      <c r="G1497" s="198">
        <v>0</v>
      </c>
      <c r="H1497" s="198">
        <v>0</v>
      </c>
      <c r="I1497" s="274"/>
      <c r="M1497" s="13" t="s">
        <v>374</v>
      </c>
      <c r="O1497" s="10"/>
    </row>
    <row r="1498" spans="2:15" s="9" customFormat="1" ht="12.75">
      <c r="B1498" s="16"/>
      <c r="C1498" s="10" t="s">
        <v>343</v>
      </c>
      <c r="D1498" s="9" t="s">
        <v>375</v>
      </c>
      <c r="E1498" s="9">
        <v>4864077</v>
      </c>
      <c r="F1498" s="12"/>
      <c r="G1498" s="9">
        <v>4869769</v>
      </c>
      <c r="H1498" s="11">
        <v>4864964</v>
      </c>
      <c r="I1498" s="276" t="s">
        <v>376</v>
      </c>
      <c r="J1498" s="277">
        <f>964-21</f>
        <v>943</v>
      </c>
      <c r="K1498" s="9">
        <f>1077-651</f>
        <v>426</v>
      </c>
      <c r="L1498" s="9">
        <v>40651</v>
      </c>
      <c r="M1498" s="10">
        <v>1983</v>
      </c>
      <c r="N1498" s="9" t="s">
        <v>96</v>
      </c>
      <c r="O1498" s="10">
        <v>2004</v>
      </c>
    </row>
    <row r="1499" spans="2:15" s="9" customFormat="1" ht="12.75">
      <c r="B1499" s="16"/>
      <c r="C1499" s="10" t="s">
        <v>343</v>
      </c>
      <c r="D1499" s="9" t="s">
        <v>377</v>
      </c>
      <c r="E1499" s="9">
        <v>4864078</v>
      </c>
      <c r="F1499" s="12"/>
      <c r="G1499" s="9">
        <v>4869724</v>
      </c>
      <c r="H1499" s="91">
        <v>4858519</v>
      </c>
      <c r="I1499" s="276" t="s">
        <v>378</v>
      </c>
      <c r="J1499" s="277">
        <f>519-75</f>
        <v>444</v>
      </c>
      <c r="K1499" s="9">
        <f>1078-652</f>
        <v>426</v>
      </c>
      <c r="L1499" s="9">
        <v>40652</v>
      </c>
      <c r="M1499" s="13" t="s">
        <v>379</v>
      </c>
      <c r="N1499" s="9" t="s">
        <v>96</v>
      </c>
      <c r="O1499" s="10">
        <v>2008</v>
      </c>
    </row>
    <row r="1500" spans="2:15" s="9" customFormat="1" ht="12.75">
      <c r="B1500" s="16"/>
      <c r="C1500" s="10"/>
      <c r="E1500" s="99">
        <v>4864082</v>
      </c>
      <c r="F1500" s="12"/>
      <c r="G1500" s="9">
        <v>0</v>
      </c>
      <c r="H1500" s="128">
        <v>0</v>
      </c>
      <c r="I1500" s="274"/>
      <c r="J1500" s="277"/>
      <c r="M1500" s="13" t="s">
        <v>379</v>
      </c>
      <c r="N1500" s="9" t="s">
        <v>96</v>
      </c>
      <c r="O1500" s="10">
        <v>2009</v>
      </c>
    </row>
    <row r="1501" spans="3:15" s="9" customFormat="1" ht="12.75">
      <c r="C1501" s="10" t="s">
        <v>343</v>
      </c>
      <c r="D1501" s="9" t="s">
        <v>380</v>
      </c>
      <c r="E1501" s="9">
        <v>4864083</v>
      </c>
      <c r="F1501" s="12"/>
      <c r="G1501" s="9">
        <v>4869798</v>
      </c>
      <c r="H1501" s="11">
        <v>4864993</v>
      </c>
      <c r="I1501" s="276" t="s">
        <v>381</v>
      </c>
      <c r="J1501" s="277">
        <f>993-49</f>
        <v>944</v>
      </c>
      <c r="K1501" s="9">
        <f>1083-657</f>
        <v>426</v>
      </c>
      <c r="L1501" s="9">
        <v>40657</v>
      </c>
      <c r="M1501" s="10">
        <v>1983</v>
      </c>
      <c r="N1501" s="9" t="s">
        <v>96</v>
      </c>
      <c r="O1501" s="10" t="s">
        <v>314</v>
      </c>
    </row>
    <row r="1502" spans="3:15" s="9" customFormat="1" ht="12.75">
      <c r="C1502" s="10"/>
      <c r="E1502" s="198">
        <v>4864084</v>
      </c>
      <c r="F1502" s="12"/>
      <c r="G1502" s="198">
        <v>0</v>
      </c>
      <c r="H1502" s="11">
        <v>0</v>
      </c>
      <c r="I1502" s="274"/>
      <c r="J1502" s="277"/>
      <c r="M1502" s="13" t="s">
        <v>379</v>
      </c>
      <c r="O1502" s="10"/>
    </row>
    <row r="1503" spans="2:15" s="9" customFormat="1" ht="12.75">
      <c r="B1503" s="16"/>
      <c r="E1503" s="9">
        <v>4864086</v>
      </c>
      <c r="F1503" s="12"/>
      <c r="G1503" s="9">
        <v>4869754</v>
      </c>
      <c r="I1503" s="274"/>
      <c r="J1503" s="277"/>
      <c r="K1503" s="9">
        <f>1086-660</f>
        <v>426</v>
      </c>
      <c r="L1503" s="9">
        <v>40660</v>
      </c>
      <c r="M1503" s="10"/>
      <c r="O1503" s="10"/>
    </row>
    <row r="1504" spans="2:15" s="9" customFormat="1" ht="12.75">
      <c r="B1504" s="16"/>
      <c r="C1504" s="10" t="s">
        <v>343</v>
      </c>
      <c r="D1504" s="9" t="s">
        <v>382</v>
      </c>
      <c r="E1504" s="9">
        <v>4864089</v>
      </c>
      <c r="F1504" s="12"/>
      <c r="G1504" s="9">
        <v>4869796</v>
      </c>
      <c r="H1504" s="11">
        <v>4864991</v>
      </c>
      <c r="I1504" s="276" t="s">
        <v>383</v>
      </c>
      <c r="J1504" s="277">
        <f>991-47</f>
        <v>944</v>
      </c>
      <c r="K1504" s="9">
        <v>426</v>
      </c>
      <c r="L1504" s="9">
        <v>40663</v>
      </c>
      <c r="M1504" s="10">
        <v>1983</v>
      </c>
      <c r="N1504" s="9" t="s">
        <v>96</v>
      </c>
      <c r="O1504" s="10">
        <v>2005</v>
      </c>
    </row>
    <row r="1505" spans="2:15" s="9" customFormat="1" ht="12.75">
      <c r="B1505" s="16"/>
      <c r="C1505" s="10" t="s">
        <v>343</v>
      </c>
      <c r="D1505" s="9" t="s">
        <v>384</v>
      </c>
      <c r="E1505" s="85" t="s">
        <v>385</v>
      </c>
      <c r="F1505" s="12"/>
      <c r="G1505" s="9">
        <v>4869726</v>
      </c>
      <c r="H1505" s="91">
        <v>4858521</v>
      </c>
      <c r="I1505" s="276" t="s">
        <v>386</v>
      </c>
      <c r="J1505" s="277">
        <f>521-77</f>
        <v>444</v>
      </c>
      <c r="L1505" s="9" t="s">
        <v>24</v>
      </c>
      <c r="M1505" s="13" t="s">
        <v>387</v>
      </c>
      <c r="N1505" s="16" t="s">
        <v>167</v>
      </c>
      <c r="O1505" s="10">
        <v>2008</v>
      </c>
    </row>
    <row r="1506" spans="2:15" s="9" customFormat="1" ht="12.75">
      <c r="B1506" s="16"/>
      <c r="E1506" s="9">
        <v>4864092</v>
      </c>
      <c r="F1506" s="12"/>
      <c r="G1506" s="9">
        <v>4869710</v>
      </c>
      <c r="I1506" s="274"/>
      <c r="J1506" s="277"/>
      <c r="K1506" s="9">
        <v>426</v>
      </c>
      <c r="L1506" s="9">
        <v>40666</v>
      </c>
      <c r="M1506" s="10"/>
      <c r="O1506" s="10"/>
    </row>
    <row r="1507" spans="2:15" s="9" customFormat="1" ht="12.75">
      <c r="B1507" s="16"/>
      <c r="E1507" s="9">
        <v>4864093</v>
      </c>
      <c r="F1507" s="12"/>
      <c r="G1507" s="9">
        <v>4869783</v>
      </c>
      <c r="I1507" s="274"/>
      <c r="K1507" s="9">
        <v>426</v>
      </c>
      <c r="L1507" s="9">
        <v>40667</v>
      </c>
      <c r="M1507" s="10"/>
      <c r="O1507" s="10"/>
    </row>
    <row r="1508" spans="2:15" s="9" customFormat="1" ht="12.75">
      <c r="B1508" s="16"/>
      <c r="E1508" s="11">
        <v>4864096</v>
      </c>
      <c r="F1508" s="12"/>
      <c r="G1508" s="9">
        <v>0</v>
      </c>
      <c r="H1508" s="9">
        <v>0</v>
      </c>
      <c r="I1508" s="274"/>
      <c r="K1508" s="9">
        <v>426</v>
      </c>
      <c r="L1508" s="9">
        <v>40670</v>
      </c>
      <c r="M1508" s="10">
        <v>1983</v>
      </c>
      <c r="N1508" s="9" t="s">
        <v>96</v>
      </c>
      <c r="O1508" s="10">
        <v>2008</v>
      </c>
    </row>
    <row r="1509" spans="2:15" s="9" customFormat="1" ht="12.75">
      <c r="B1509" s="16"/>
      <c r="E1509" s="9">
        <v>4864097</v>
      </c>
      <c r="F1509" s="12"/>
      <c r="G1509" s="9">
        <v>4869708</v>
      </c>
      <c r="I1509" s="274"/>
      <c r="K1509" s="9">
        <v>426</v>
      </c>
      <c r="L1509" s="9">
        <v>40671</v>
      </c>
      <c r="M1509" s="10"/>
      <c r="O1509" s="10"/>
    </row>
    <row r="1510" spans="2:15" s="9" customFormat="1" ht="12.75">
      <c r="B1510" s="16"/>
      <c r="E1510" s="271">
        <v>4864098</v>
      </c>
      <c r="F1510" s="12"/>
      <c r="G1510" s="198">
        <v>0</v>
      </c>
      <c r="H1510" s="9">
        <v>0</v>
      </c>
      <c r="I1510" s="274"/>
      <c r="M1510" s="13" t="s">
        <v>379</v>
      </c>
      <c r="N1510" s="9" t="s">
        <v>96</v>
      </c>
      <c r="O1510" s="10">
        <v>2020</v>
      </c>
    </row>
    <row r="1511" spans="2:15" s="9" customFormat="1" ht="12.75">
      <c r="B1511" s="16"/>
      <c r="E1511" s="9">
        <v>4864100</v>
      </c>
      <c r="F1511" s="12"/>
      <c r="G1511" s="9">
        <v>4869757</v>
      </c>
      <c r="I1511" s="274"/>
      <c r="K1511" s="9">
        <v>426</v>
      </c>
      <c r="L1511" s="9">
        <v>40674</v>
      </c>
      <c r="M1511" s="10"/>
      <c r="O1511" s="10"/>
    </row>
    <row r="1512" spans="2:15" s="9" customFormat="1" ht="12.75">
      <c r="B1512" s="16"/>
      <c r="E1512" s="266">
        <v>4864102</v>
      </c>
      <c r="F1512" s="12"/>
      <c r="G1512" s="198">
        <v>0</v>
      </c>
      <c r="H1512" s="9">
        <v>0</v>
      </c>
      <c r="I1512" s="274"/>
      <c r="K1512" s="198">
        <v>426</v>
      </c>
      <c r="L1512" s="198">
        <v>40676</v>
      </c>
      <c r="M1512" s="10">
        <v>1983</v>
      </c>
      <c r="N1512" s="9" t="s">
        <v>96</v>
      </c>
      <c r="O1512" s="10">
        <v>2020</v>
      </c>
    </row>
    <row r="1513" spans="2:15" s="9" customFormat="1" ht="12.75">
      <c r="B1513" s="16"/>
      <c r="D1513" s="13"/>
      <c r="E1513" s="53">
        <v>4864106</v>
      </c>
      <c r="F1513" s="12"/>
      <c r="G1513" s="198">
        <v>0</v>
      </c>
      <c r="H1513" s="9">
        <v>0</v>
      </c>
      <c r="I1513" s="274"/>
      <c r="K1513" s="9">
        <v>426</v>
      </c>
      <c r="L1513" s="9">
        <v>40680</v>
      </c>
      <c r="M1513" s="10">
        <v>1983</v>
      </c>
      <c r="N1513" s="9" t="s">
        <v>96</v>
      </c>
      <c r="O1513" s="13" t="s">
        <v>133</v>
      </c>
    </row>
    <row r="1514" spans="2:15" s="9" customFormat="1" ht="12.75">
      <c r="B1514" s="16" t="s">
        <v>281</v>
      </c>
      <c r="E1514" s="11">
        <v>4864107</v>
      </c>
      <c r="F1514" s="12"/>
      <c r="G1514" s="9">
        <v>0</v>
      </c>
      <c r="H1514" s="9">
        <v>0</v>
      </c>
      <c r="I1514" s="274"/>
      <c r="K1514" s="9">
        <f>1107-681</f>
        <v>426</v>
      </c>
      <c r="L1514" s="9">
        <v>40681</v>
      </c>
      <c r="M1514" s="10">
        <v>1983</v>
      </c>
      <c r="N1514" s="9" t="s">
        <v>96</v>
      </c>
      <c r="O1514" s="10" t="s">
        <v>388</v>
      </c>
    </row>
    <row r="1515" spans="2:15" s="9" customFormat="1" ht="12.75">
      <c r="B1515" s="16"/>
      <c r="E1515" s="11">
        <v>4864109</v>
      </c>
      <c r="F1515" s="12"/>
      <c r="G1515" s="9">
        <v>0</v>
      </c>
      <c r="H1515" s="9">
        <v>0</v>
      </c>
      <c r="I1515" s="274"/>
      <c r="K1515" s="9">
        <v>426</v>
      </c>
      <c r="L1515" s="9">
        <v>40683</v>
      </c>
      <c r="M1515" s="10">
        <v>1983</v>
      </c>
      <c r="N1515" s="9" t="s">
        <v>96</v>
      </c>
      <c r="O1515" s="10">
        <v>2008</v>
      </c>
    </row>
    <row r="1516" spans="2:15" s="9" customFormat="1" ht="12.75">
      <c r="B1516" s="16"/>
      <c r="E1516" s="9">
        <v>4864110</v>
      </c>
      <c r="F1516" s="12"/>
      <c r="G1516" s="9">
        <v>4869202</v>
      </c>
      <c r="I1516" s="274"/>
      <c r="K1516" s="9">
        <v>426</v>
      </c>
      <c r="L1516" s="9">
        <v>40684</v>
      </c>
      <c r="M1516" s="10"/>
      <c r="O1516" s="10"/>
    </row>
    <row r="1517" spans="2:15" s="9" customFormat="1" ht="12.75">
      <c r="B1517" s="16"/>
      <c r="E1517" s="201">
        <v>4864113</v>
      </c>
      <c r="F1517" s="12"/>
      <c r="I1517" s="274"/>
      <c r="L1517" s="198">
        <v>40687</v>
      </c>
      <c r="M1517" s="10">
        <v>1983</v>
      </c>
      <c r="N1517" s="198" t="s">
        <v>96</v>
      </c>
      <c r="O1517" s="10">
        <v>2016</v>
      </c>
    </row>
    <row r="1518" spans="2:15" s="9" customFormat="1" ht="12.75">
      <c r="B1518" s="16"/>
      <c r="E1518" s="9">
        <v>4864115</v>
      </c>
      <c r="F1518" s="12"/>
      <c r="G1518" s="9">
        <v>4869717</v>
      </c>
      <c r="H1518" s="11">
        <v>4858512</v>
      </c>
      <c r="I1518" s="274"/>
      <c r="J1518" s="11"/>
      <c r="K1518" s="9">
        <f>1115-689</f>
        <v>426</v>
      </c>
      <c r="L1518" s="9">
        <v>40689</v>
      </c>
      <c r="M1518" s="10">
        <v>1983</v>
      </c>
      <c r="N1518" s="9" t="s">
        <v>96</v>
      </c>
      <c r="O1518" s="10" t="s">
        <v>226</v>
      </c>
    </row>
    <row r="1519" spans="2:15" s="9" customFormat="1" ht="12.75">
      <c r="B1519" s="16"/>
      <c r="E1519" s="11">
        <v>4864118</v>
      </c>
      <c r="F1519" s="12"/>
      <c r="G1519" s="9">
        <v>0</v>
      </c>
      <c r="H1519" s="9">
        <v>0</v>
      </c>
      <c r="I1519" s="274"/>
      <c r="K1519" s="9">
        <v>426</v>
      </c>
      <c r="L1519" s="9">
        <v>40692</v>
      </c>
      <c r="M1519" s="13" t="s">
        <v>389</v>
      </c>
      <c r="N1519" s="9" t="s">
        <v>96</v>
      </c>
      <c r="O1519" s="13" t="s">
        <v>369</v>
      </c>
    </row>
    <row r="1520" spans="2:15" s="9" customFormat="1" ht="12.75">
      <c r="B1520" s="16"/>
      <c r="E1520" s="9">
        <v>4864123</v>
      </c>
      <c r="F1520" s="12"/>
      <c r="G1520" s="9">
        <v>4869734</v>
      </c>
      <c r="H1520" s="82">
        <v>4858529</v>
      </c>
      <c r="I1520" s="274"/>
      <c r="L1520" s="10" t="s">
        <v>390</v>
      </c>
      <c r="M1520" s="10">
        <v>1983</v>
      </c>
      <c r="N1520" s="9" t="s">
        <v>96</v>
      </c>
      <c r="O1520" s="10" t="s">
        <v>48</v>
      </c>
    </row>
    <row r="1521" spans="2:15" s="9" customFormat="1" ht="12.75">
      <c r="B1521" s="16"/>
      <c r="E1521" s="212">
        <v>4864124</v>
      </c>
      <c r="F1521" s="12"/>
      <c r="G1521" s="198">
        <v>0</v>
      </c>
      <c r="H1521" s="213">
        <v>0</v>
      </c>
      <c r="I1521" s="274"/>
      <c r="K1521" s="9">
        <f>1124-698</f>
        <v>426</v>
      </c>
      <c r="L1521" s="10">
        <v>40698</v>
      </c>
      <c r="M1521" s="10">
        <v>1983</v>
      </c>
      <c r="N1521" s="198" t="s">
        <v>96</v>
      </c>
      <c r="O1521" s="10">
        <v>2010</v>
      </c>
    </row>
    <row r="1522" spans="2:15" s="9" customFormat="1" ht="12.75">
      <c r="B1522" s="16"/>
      <c r="E1522" s="212">
        <v>4864128</v>
      </c>
      <c r="F1522" s="12"/>
      <c r="G1522" s="198">
        <v>0</v>
      </c>
      <c r="H1522" s="272">
        <v>0</v>
      </c>
      <c r="I1522" s="274"/>
      <c r="L1522" s="10"/>
      <c r="M1522" s="13" t="s">
        <v>389</v>
      </c>
      <c r="N1522" s="198" t="s">
        <v>96</v>
      </c>
      <c r="O1522" s="10">
        <v>2020</v>
      </c>
    </row>
    <row r="1523" spans="2:15" s="9" customFormat="1" ht="12.75">
      <c r="B1523" s="16"/>
      <c r="E1523" s="9">
        <v>4864129</v>
      </c>
      <c r="F1523" s="12"/>
      <c r="G1523" s="9">
        <v>4869244</v>
      </c>
      <c r="I1523" s="274"/>
      <c r="K1523" s="9">
        <v>426</v>
      </c>
      <c r="L1523" s="10">
        <v>40703</v>
      </c>
      <c r="M1523" s="10"/>
      <c r="O1523" s="10"/>
    </row>
    <row r="1524" spans="2:15" s="9" customFormat="1" ht="12.75">
      <c r="B1524" s="16"/>
      <c r="E1524" s="9">
        <v>4864131</v>
      </c>
      <c r="F1524" s="12"/>
      <c r="G1524" s="9">
        <v>4869763</v>
      </c>
      <c r="H1524" s="9">
        <v>4864958</v>
      </c>
      <c r="I1524" s="274"/>
      <c r="K1524" s="9">
        <v>426</v>
      </c>
      <c r="L1524" s="10">
        <v>40705</v>
      </c>
      <c r="M1524" s="10"/>
      <c r="O1524" s="10"/>
    </row>
    <row r="1525" spans="2:15" s="9" customFormat="1" ht="12.75">
      <c r="B1525" s="16"/>
      <c r="C1525" s="10" t="s">
        <v>343</v>
      </c>
      <c r="D1525" s="9" t="s">
        <v>391</v>
      </c>
      <c r="E1525" s="9">
        <v>4864132</v>
      </c>
      <c r="F1525" s="12"/>
      <c r="G1525" s="9">
        <v>4869722</v>
      </c>
      <c r="H1525" s="11">
        <v>4858517</v>
      </c>
      <c r="I1525" s="276" t="s">
        <v>392</v>
      </c>
      <c r="J1525" s="277">
        <f>517-73</f>
        <v>444</v>
      </c>
      <c r="K1525" s="9">
        <v>426</v>
      </c>
      <c r="L1525" s="10">
        <v>40706</v>
      </c>
      <c r="M1525" s="13" t="s">
        <v>389</v>
      </c>
      <c r="N1525" s="9" t="s">
        <v>96</v>
      </c>
      <c r="O1525" s="10">
        <v>2008</v>
      </c>
    </row>
    <row r="1526" spans="2:15" s="9" customFormat="1" ht="12.75">
      <c r="B1526" s="16"/>
      <c r="E1526" s="11">
        <v>4864133</v>
      </c>
      <c r="F1526" s="12"/>
      <c r="G1526" s="9">
        <v>0</v>
      </c>
      <c r="H1526" s="9">
        <v>0</v>
      </c>
      <c r="I1526" s="274"/>
      <c r="K1526" s="9">
        <v>426</v>
      </c>
      <c r="L1526" s="9">
        <v>40707</v>
      </c>
      <c r="M1526" s="10">
        <v>1983</v>
      </c>
      <c r="O1526" s="10">
        <v>1997</v>
      </c>
    </row>
    <row r="1527" spans="2:15" s="9" customFormat="1" ht="12.75">
      <c r="B1527" s="16"/>
      <c r="E1527" s="91">
        <v>4864134</v>
      </c>
      <c r="F1527" s="12"/>
      <c r="G1527" s="9">
        <v>4869225</v>
      </c>
      <c r="H1527" s="9">
        <v>0</v>
      </c>
      <c r="I1527" s="274"/>
      <c r="K1527" s="9">
        <v>426</v>
      </c>
      <c r="L1527" s="9">
        <v>40708</v>
      </c>
      <c r="M1527" s="114" t="s">
        <v>389</v>
      </c>
      <c r="N1527" s="16" t="s">
        <v>167</v>
      </c>
      <c r="O1527" s="10">
        <v>2008</v>
      </c>
    </row>
    <row r="1528" spans="2:15" s="9" customFormat="1" ht="12.75">
      <c r="B1528" s="16"/>
      <c r="E1528" s="9">
        <v>4864144</v>
      </c>
      <c r="F1528" s="12"/>
      <c r="G1528" s="9">
        <v>4869747</v>
      </c>
      <c r="I1528" s="274"/>
      <c r="K1528" s="9">
        <v>426</v>
      </c>
      <c r="L1528" s="9">
        <v>40718</v>
      </c>
      <c r="M1528" s="10"/>
      <c r="O1528" s="10"/>
    </row>
    <row r="1529" spans="2:15" s="9" customFormat="1" ht="12.75">
      <c r="B1529" s="16"/>
      <c r="E1529" s="231">
        <v>4864148</v>
      </c>
      <c r="F1529" s="12"/>
      <c r="G1529" s="198">
        <v>0</v>
      </c>
      <c r="H1529" s="198">
        <v>0</v>
      </c>
      <c r="I1529" s="274"/>
      <c r="K1529" s="198">
        <v>426</v>
      </c>
      <c r="L1529" s="198">
        <v>40722</v>
      </c>
      <c r="M1529" s="10">
        <v>1983</v>
      </c>
      <c r="N1529" s="9" t="s">
        <v>96</v>
      </c>
      <c r="O1529" s="10" t="s">
        <v>393</v>
      </c>
    </row>
    <row r="1530" spans="2:15" s="9" customFormat="1" ht="12.75">
      <c r="B1530" s="16"/>
      <c r="E1530" s="9">
        <v>4864153</v>
      </c>
      <c r="F1530" s="12"/>
      <c r="G1530" s="9">
        <v>4869785</v>
      </c>
      <c r="I1530" s="274"/>
      <c r="K1530" s="9">
        <v>426</v>
      </c>
      <c r="L1530" s="9">
        <v>40727</v>
      </c>
      <c r="M1530" s="10"/>
      <c r="O1530" s="10"/>
    </row>
    <row r="1531" spans="2:15" s="9" customFormat="1" ht="12.75">
      <c r="B1531" s="16"/>
      <c r="E1531" s="9">
        <v>4864154</v>
      </c>
      <c r="F1531" s="12"/>
      <c r="G1531" s="9">
        <v>4869795</v>
      </c>
      <c r="I1531" s="274"/>
      <c r="K1531" s="9">
        <v>426</v>
      </c>
      <c r="L1531" s="9">
        <v>40728</v>
      </c>
      <c r="M1531" s="10"/>
      <c r="O1531" s="10"/>
    </row>
    <row r="1532" spans="2:15" s="9" customFormat="1" ht="12.75">
      <c r="B1532" s="16"/>
      <c r="E1532" s="11">
        <v>4864155</v>
      </c>
      <c r="F1532" s="12"/>
      <c r="G1532" s="9">
        <v>0</v>
      </c>
      <c r="H1532" s="9">
        <v>0</v>
      </c>
      <c r="I1532" s="274"/>
      <c r="K1532" s="9">
        <v>426</v>
      </c>
      <c r="L1532" s="9">
        <v>40729</v>
      </c>
      <c r="M1532" s="13" t="s">
        <v>389</v>
      </c>
      <c r="N1532" s="9" t="s">
        <v>171</v>
      </c>
      <c r="O1532" s="10" t="s">
        <v>207</v>
      </c>
    </row>
    <row r="1533" spans="2:15" s="9" customFormat="1" ht="12.75">
      <c r="B1533" s="16"/>
      <c r="E1533" s="84">
        <v>4864156</v>
      </c>
      <c r="F1533" s="12"/>
      <c r="G1533" s="9">
        <v>4869735</v>
      </c>
      <c r="I1533" s="274"/>
      <c r="M1533" s="13"/>
      <c r="O1533" s="10" t="s">
        <v>164</v>
      </c>
    </row>
    <row r="1534" spans="2:15" s="9" customFormat="1" ht="12.75">
      <c r="B1534" s="16"/>
      <c r="E1534" s="11">
        <v>4864158</v>
      </c>
      <c r="F1534" s="12"/>
      <c r="G1534" s="9">
        <v>0</v>
      </c>
      <c r="H1534" s="9">
        <v>522161</v>
      </c>
      <c r="I1534" s="274"/>
      <c r="M1534" s="13" t="s">
        <v>389</v>
      </c>
      <c r="N1534" s="9" t="s">
        <v>171</v>
      </c>
      <c r="O1534" s="10">
        <v>2008</v>
      </c>
    </row>
    <row r="1535" spans="2:15" s="9" customFormat="1" ht="12.75">
      <c r="B1535" s="16"/>
      <c r="E1535" s="50">
        <v>4864166</v>
      </c>
      <c r="F1535" s="12"/>
      <c r="G1535" s="9">
        <v>4869742</v>
      </c>
      <c r="H1535" s="39">
        <v>4858537</v>
      </c>
      <c r="I1535" s="274"/>
      <c r="M1535" s="13" t="s">
        <v>394</v>
      </c>
      <c r="N1535" s="9" t="s">
        <v>171</v>
      </c>
      <c r="O1535" s="10" t="s">
        <v>30</v>
      </c>
    </row>
    <row r="1536" spans="2:15" s="9" customFormat="1" ht="12.75">
      <c r="B1536" s="16"/>
      <c r="E1536" s="9">
        <v>4864170</v>
      </c>
      <c r="F1536" s="12"/>
      <c r="G1536" s="9">
        <v>4869740</v>
      </c>
      <c r="I1536" s="274"/>
      <c r="K1536" s="9">
        <v>426</v>
      </c>
      <c r="L1536" s="9">
        <v>40744</v>
      </c>
      <c r="M1536" s="10"/>
      <c r="O1536" s="10"/>
    </row>
    <row r="1537" spans="2:15" s="9" customFormat="1" ht="12.75">
      <c r="B1537" s="16"/>
      <c r="E1537" s="244">
        <v>4864177</v>
      </c>
      <c r="F1537" s="12"/>
      <c r="G1537" s="198">
        <v>0</v>
      </c>
      <c r="H1537" s="198">
        <v>0</v>
      </c>
      <c r="I1537" s="274"/>
      <c r="M1537" s="13" t="s">
        <v>394</v>
      </c>
      <c r="N1537" s="198" t="s">
        <v>96</v>
      </c>
      <c r="O1537" s="10">
        <v>2012</v>
      </c>
    </row>
    <row r="1538" spans="2:15" s="9" customFormat="1" ht="12.75">
      <c r="B1538" s="16"/>
      <c r="E1538" s="235">
        <v>4864183</v>
      </c>
      <c r="F1538" s="12"/>
      <c r="G1538" s="198">
        <v>0</v>
      </c>
      <c r="H1538" s="198">
        <v>0</v>
      </c>
      <c r="I1538" s="274"/>
      <c r="M1538" s="13" t="s">
        <v>394</v>
      </c>
      <c r="N1538" s="198" t="s">
        <v>171</v>
      </c>
      <c r="O1538" s="10">
        <v>2010</v>
      </c>
    </row>
    <row r="1539" spans="2:15" s="9" customFormat="1" ht="12.75">
      <c r="B1539" s="16"/>
      <c r="E1539" s="212">
        <v>4864184</v>
      </c>
      <c r="F1539" s="12"/>
      <c r="G1539" s="198">
        <v>0</v>
      </c>
      <c r="H1539" s="198">
        <v>0</v>
      </c>
      <c r="I1539" s="274"/>
      <c r="K1539" s="9">
        <f>1184-758</f>
        <v>426</v>
      </c>
      <c r="L1539" s="9">
        <v>40758</v>
      </c>
      <c r="M1539" s="10">
        <v>1984</v>
      </c>
      <c r="N1539" s="198" t="s">
        <v>96</v>
      </c>
      <c r="O1539" s="10">
        <v>2010</v>
      </c>
    </row>
    <row r="1540" spans="2:15" s="9" customFormat="1" ht="12.75">
      <c r="B1540" s="16"/>
      <c r="E1540" s="119">
        <v>4864185</v>
      </c>
      <c r="F1540" s="12"/>
      <c r="G1540" s="9">
        <v>0</v>
      </c>
      <c r="H1540" s="9">
        <v>0</v>
      </c>
      <c r="I1540" s="274"/>
      <c r="M1540" s="13" t="s">
        <v>394</v>
      </c>
      <c r="N1540" s="9" t="s">
        <v>214</v>
      </c>
      <c r="O1540" s="10">
        <v>2008</v>
      </c>
    </row>
    <row r="1541" spans="2:15" s="9" customFormat="1" ht="12.75">
      <c r="B1541" s="16"/>
      <c r="E1541" s="9">
        <v>4864189</v>
      </c>
      <c r="F1541" s="12"/>
      <c r="G1541" s="9">
        <v>4869727</v>
      </c>
      <c r="I1541" s="274"/>
      <c r="K1541" s="9">
        <v>426</v>
      </c>
      <c r="L1541" s="9">
        <v>40763</v>
      </c>
      <c r="M1541" s="10"/>
      <c r="O1541" s="10"/>
    </row>
    <row r="1542" spans="2:15" s="9" customFormat="1" ht="12.75">
      <c r="B1542" s="16"/>
      <c r="E1542" s="11">
        <v>4864192</v>
      </c>
      <c r="F1542" s="12"/>
      <c r="G1542" s="9">
        <v>0</v>
      </c>
      <c r="H1542" s="9">
        <v>0</v>
      </c>
      <c r="I1542" s="274"/>
      <c r="M1542" s="13" t="s">
        <v>394</v>
      </c>
      <c r="N1542" s="16" t="s">
        <v>167</v>
      </c>
      <c r="O1542" s="114" t="s">
        <v>395</v>
      </c>
    </row>
    <row r="1543" spans="2:15" s="9" customFormat="1" ht="12.75">
      <c r="B1543" s="16"/>
      <c r="E1543" s="11">
        <v>4864197</v>
      </c>
      <c r="F1543" s="12"/>
      <c r="G1543" s="9">
        <v>0</v>
      </c>
      <c r="H1543" s="9">
        <v>0</v>
      </c>
      <c r="I1543" s="274"/>
      <c r="M1543" s="10">
        <v>1984</v>
      </c>
      <c r="O1543" s="10">
        <v>2006</v>
      </c>
    </row>
    <row r="1544" spans="2:15" s="9" customFormat="1" ht="12.75">
      <c r="B1544" s="16"/>
      <c r="E1544" s="11">
        <v>4864190</v>
      </c>
      <c r="F1544" s="12"/>
      <c r="G1544" s="198">
        <v>0</v>
      </c>
      <c r="H1544" s="198">
        <v>0</v>
      </c>
      <c r="I1544" s="274"/>
      <c r="M1544" s="10">
        <v>1984</v>
      </c>
      <c r="O1544" s="10">
        <v>1995</v>
      </c>
    </row>
    <row r="1545" spans="2:15" s="9" customFormat="1" ht="12.75">
      <c r="B1545" s="16"/>
      <c r="E1545" s="11">
        <v>4864191</v>
      </c>
      <c r="F1545" s="12"/>
      <c r="G1545" s="198">
        <v>0</v>
      </c>
      <c r="H1545" s="198">
        <v>0</v>
      </c>
      <c r="I1545" s="274"/>
      <c r="M1545" s="114" t="s">
        <v>394</v>
      </c>
      <c r="O1545" s="10">
        <v>2010</v>
      </c>
    </row>
    <row r="1546" spans="2:15" s="9" customFormat="1" ht="12.75">
      <c r="B1546" s="16"/>
      <c r="C1546" s="10" t="s">
        <v>343</v>
      </c>
      <c r="D1546" s="9" t="s">
        <v>396</v>
      </c>
      <c r="E1546" s="9">
        <v>4864198</v>
      </c>
      <c r="F1546" s="12"/>
      <c r="G1546" s="9">
        <v>4869789</v>
      </c>
      <c r="H1546" s="11">
        <v>4864984</v>
      </c>
      <c r="I1546" s="276" t="s">
        <v>397</v>
      </c>
      <c r="J1546" s="277">
        <f>984-40</f>
        <v>944</v>
      </c>
      <c r="K1546" s="9">
        <v>426</v>
      </c>
      <c r="L1546" s="9">
        <v>40772</v>
      </c>
      <c r="M1546" s="10">
        <v>1984</v>
      </c>
      <c r="O1546" s="10">
        <v>2006</v>
      </c>
    </row>
    <row r="1547" spans="2:15" s="9" customFormat="1" ht="12.75">
      <c r="B1547" s="16"/>
      <c r="E1547" s="9">
        <v>4864200</v>
      </c>
      <c r="F1547" s="12"/>
      <c r="G1547" s="9">
        <v>4869793</v>
      </c>
      <c r="I1547" s="274"/>
      <c r="K1547" s="9">
        <v>426</v>
      </c>
      <c r="L1547" s="9">
        <v>40774</v>
      </c>
      <c r="M1547" s="10"/>
      <c r="O1547" s="10"/>
    </row>
    <row r="1548" spans="2:15" s="9" customFormat="1" ht="12.75">
      <c r="B1548" s="16"/>
      <c r="E1548" s="9">
        <v>4864205</v>
      </c>
      <c r="F1548" s="12"/>
      <c r="G1548" s="9">
        <v>4869711</v>
      </c>
      <c r="I1548" s="274"/>
      <c r="K1548" s="9">
        <v>426</v>
      </c>
      <c r="L1548" s="9">
        <v>40779</v>
      </c>
      <c r="M1548" s="10"/>
      <c r="O1548" s="10"/>
    </row>
    <row r="1549" spans="2:15" s="9" customFormat="1" ht="12.75">
      <c r="B1549" s="16"/>
      <c r="E1549" s="9">
        <v>4864206</v>
      </c>
      <c r="F1549" s="12"/>
      <c r="G1549" s="9">
        <v>4869749</v>
      </c>
      <c r="I1549" s="274"/>
      <c r="K1549" s="9">
        <v>426</v>
      </c>
      <c r="L1549" s="9">
        <v>40780</v>
      </c>
      <c r="M1549" s="10"/>
      <c r="O1549" s="10"/>
    </row>
    <row r="1550" spans="2:15" s="9" customFormat="1" ht="12.75">
      <c r="B1550" s="16"/>
      <c r="E1550" s="9">
        <v>4864207</v>
      </c>
      <c r="F1550" s="12"/>
      <c r="G1550" s="9">
        <v>4869704</v>
      </c>
      <c r="I1550" s="274"/>
      <c r="M1550" s="10"/>
      <c r="O1550" s="10" t="s">
        <v>164</v>
      </c>
    </row>
    <row r="1551" spans="2:15" s="9" customFormat="1" ht="12.75">
      <c r="B1551" s="16"/>
      <c r="E1551" s="261">
        <v>4864213</v>
      </c>
      <c r="F1551" s="12"/>
      <c r="I1551" s="274"/>
      <c r="M1551" s="10"/>
      <c r="O1551" s="10">
        <v>1986</v>
      </c>
    </row>
    <row r="1552" spans="2:15" s="9" customFormat="1" ht="12.75">
      <c r="B1552" s="16"/>
      <c r="C1552" s="10" t="s">
        <v>343</v>
      </c>
      <c r="D1552" s="9" t="s">
        <v>398</v>
      </c>
      <c r="E1552" s="9">
        <v>4864214</v>
      </c>
      <c r="F1552" s="12"/>
      <c r="G1552" s="9">
        <v>4869782</v>
      </c>
      <c r="H1552" s="11">
        <v>4864977</v>
      </c>
      <c r="I1552" s="276" t="s">
        <v>399</v>
      </c>
      <c r="J1552" s="278">
        <f>977-33</f>
        <v>944</v>
      </c>
      <c r="K1552" s="9">
        <v>426</v>
      </c>
      <c r="L1552" s="9">
        <v>40788</v>
      </c>
      <c r="M1552" s="10">
        <v>1984</v>
      </c>
      <c r="N1552" s="9" t="s">
        <v>96</v>
      </c>
      <c r="O1552" s="10">
        <v>2008</v>
      </c>
    </row>
    <row r="1553" spans="2:15" s="9" customFormat="1" ht="12.75">
      <c r="B1553" s="16"/>
      <c r="E1553" s="9">
        <v>4864215</v>
      </c>
      <c r="F1553" s="12"/>
      <c r="G1553" s="9">
        <v>4869777</v>
      </c>
      <c r="H1553" s="234">
        <v>4864972</v>
      </c>
      <c r="I1553" s="274"/>
      <c r="J1553" s="84"/>
      <c r="K1553" s="9">
        <f>1215-789</f>
        <v>426</v>
      </c>
      <c r="L1553" s="9">
        <v>40789</v>
      </c>
      <c r="M1553" s="13" t="s">
        <v>400</v>
      </c>
      <c r="N1553" s="9" t="s">
        <v>96</v>
      </c>
      <c r="O1553" s="10">
        <v>2010</v>
      </c>
    </row>
    <row r="1554" spans="2:15" s="2" customFormat="1" ht="13.5" thickBot="1">
      <c r="B1554" s="15"/>
      <c r="E1554" s="5" t="s">
        <v>401</v>
      </c>
      <c r="F1554" s="4"/>
      <c r="L1554" s="2">
        <v>40790</v>
      </c>
      <c r="M1554" s="6">
        <v>1984</v>
      </c>
      <c r="N1554" s="2" t="s">
        <v>96</v>
      </c>
      <c r="O1554" s="6"/>
    </row>
    <row r="1555" spans="2:15" s="9" customFormat="1" ht="12.75">
      <c r="B1555" s="16"/>
      <c r="C1555" s="194" t="s">
        <v>402</v>
      </c>
      <c r="D1555" s="193" t="s">
        <v>403</v>
      </c>
      <c r="E1555" s="192">
        <v>4816000</v>
      </c>
      <c r="F1555" s="193" t="s">
        <v>404</v>
      </c>
      <c r="G1555" s="193"/>
      <c r="M1555" s="10">
        <v>1986</v>
      </c>
      <c r="N1555" s="9" t="s">
        <v>405</v>
      </c>
      <c r="O1555" s="10">
        <v>2008</v>
      </c>
    </row>
    <row r="1556" spans="2:15" s="2" customFormat="1" ht="13.5" thickBot="1">
      <c r="B1556" s="15"/>
      <c r="C1556" s="195" t="s">
        <v>402</v>
      </c>
      <c r="D1556" s="195" t="s">
        <v>406</v>
      </c>
      <c r="E1556" s="196">
        <v>4816017</v>
      </c>
      <c r="F1556" s="4"/>
      <c r="L1556" s="2">
        <v>11231</v>
      </c>
      <c r="M1556" s="6">
        <v>1986</v>
      </c>
      <c r="N1556" s="2" t="s">
        <v>405</v>
      </c>
      <c r="O1556" s="6">
        <v>2008</v>
      </c>
    </row>
    <row r="1557" spans="2:15" s="9" customFormat="1" ht="12.75">
      <c r="B1557" s="16"/>
      <c r="E1557" s="74">
        <v>4864217</v>
      </c>
      <c r="F1557" s="110" t="s">
        <v>407</v>
      </c>
      <c r="G1557" s="9">
        <v>0</v>
      </c>
      <c r="H1557" s="9">
        <v>0</v>
      </c>
      <c r="J1557" s="110" t="s">
        <v>408</v>
      </c>
      <c r="K1557" s="9">
        <v>0</v>
      </c>
      <c r="L1557" s="9">
        <v>12217</v>
      </c>
      <c r="M1557" s="10">
        <v>1984</v>
      </c>
      <c r="N1557" s="9" t="s">
        <v>409</v>
      </c>
      <c r="O1557" s="10">
        <v>2008</v>
      </c>
    </row>
    <row r="1558" spans="2:15" s="9" customFormat="1" ht="12.75">
      <c r="B1558" s="16"/>
      <c r="E1558" s="74">
        <v>4864222</v>
      </c>
      <c r="F1558" s="110"/>
      <c r="G1558" s="9">
        <v>0</v>
      </c>
      <c r="H1558" s="9">
        <v>0</v>
      </c>
      <c r="J1558" s="110"/>
      <c r="K1558" s="9">
        <v>0</v>
      </c>
      <c r="L1558" s="9">
        <v>12222</v>
      </c>
      <c r="M1558" s="10">
        <v>1984</v>
      </c>
      <c r="N1558" s="9" t="s">
        <v>409</v>
      </c>
      <c r="O1558" s="10">
        <v>2009</v>
      </c>
    </row>
    <row r="1559" spans="2:15" s="9" customFormat="1" ht="12.75">
      <c r="B1559" s="16"/>
      <c r="E1559" s="13">
        <v>4864229</v>
      </c>
      <c r="G1559" s="9">
        <v>4869719</v>
      </c>
      <c r="K1559" s="9">
        <v>0</v>
      </c>
      <c r="L1559" s="9">
        <v>12229</v>
      </c>
      <c r="M1559" s="10"/>
      <c r="O1559" s="10"/>
    </row>
    <row r="1560" spans="2:15" s="9" customFormat="1" ht="12.75">
      <c r="B1560" s="16"/>
      <c r="E1560" s="13">
        <v>4864236</v>
      </c>
      <c r="G1560" s="9">
        <v>4869245</v>
      </c>
      <c r="K1560" s="9">
        <v>0</v>
      </c>
      <c r="L1560" s="9">
        <v>12236</v>
      </c>
      <c r="M1560" s="10"/>
      <c r="O1560" s="10"/>
    </row>
    <row r="1561" spans="2:15" s="9" customFormat="1" ht="12.75">
      <c r="B1561" s="16"/>
      <c r="E1561" s="214">
        <v>4864239</v>
      </c>
      <c r="G1561" s="198">
        <v>0</v>
      </c>
      <c r="H1561" s="9">
        <v>0</v>
      </c>
      <c r="I1561" s="274"/>
      <c r="K1561" s="198">
        <v>0</v>
      </c>
      <c r="L1561" s="198">
        <v>12239</v>
      </c>
      <c r="M1561" s="10">
        <v>1984</v>
      </c>
      <c r="N1561" s="198" t="s">
        <v>409</v>
      </c>
      <c r="O1561" s="10">
        <v>2010</v>
      </c>
    </row>
    <row r="1562" spans="2:15" s="9" customFormat="1" ht="12.75">
      <c r="B1562" s="16"/>
      <c r="C1562" s="10" t="s">
        <v>343</v>
      </c>
      <c r="D1562" s="9" t="s">
        <v>410</v>
      </c>
      <c r="E1562" s="13">
        <v>4864246</v>
      </c>
      <c r="F1562" s="84">
        <f>G1562-H1562</f>
        <v>11205</v>
      </c>
      <c r="G1562" s="9">
        <v>4869714</v>
      </c>
      <c r="H1562" s="37">
        <v>4858509</v>
      </c>
      <c r="I1562" s="276" t="s">
        <v>411</v>
      </c>
      <c r="J1562" s="278">
        <f>509-65</f>
        <v>444</v>
      </c>
      <c r="K1562" s="9">
        <v>0</v>
      </c>
      <c r="L1562" s="9">
        <v>12246</v>
      </c>
      <c r="M1562" s="10">
        <v>1984</v>
      </c>
      <c r="N1562" s="9" t="s">
        <v>409</v>
      </c>
      <c r="O1562" s="10">
        <v>2009</v>
      </c>
    </row>
    <row r="1563" spans="2:15" s="9" customFormat="1" ht="12.75">
      <c r="B1563" s="16"/>
      <c r="C1563" s="10"/>
      <c r="E1563" s="215">
        <v>4864250</v>
      </c>
      <c r="F1563" s="217"/>
      <c r="G1563" s="198">
        <v>0</v>
      </c>
      <c r="H1563" s="216">
        <v>0</v>
      </c>
      <c r="I1563" s="274"/>
      <c r="J1563" s="279"/>
      <c r="K1563" s="198">
        <v>0</v>
      </c>
      <c r="L1563" s="198">
        <v>12250</v>
      </c>
      <c r="M1563" s="10">
        <v>1984</v>
      </c>
      <c r="N1563" s="198" t="s">
        <v>405</v>
      </c>
      <c r="O1563" s="10">
        <v>2010</v>
      </c>
    </row>
    <row r="1564" spans="2:15" s="9" customFormat="1" ht="12.75">
      <c r="B1564" s="16" t="s">
        <v>281</v>
      </c>
      <c r="E1564" s="11">
        <v>4864254</v>
      </c>
      <c r="G1564" s="9">
        <v>0</v>
      </c>
      <c r="H1564" s="9">
        <v>0</v>
      </c>
      <c r="I1564" s="274"/>
      <c r="J1564" s="48"/>
      <c r="K1564" s="9">
        <v>0</v>
      </c>
      <c r="L1564" s="9">
        <v>12254</v>
      </c>
      <c r="M1564" s="10">
        <v>1984</v>
      </c>
      <c r="N1564" s="9" t="s">
        <v>409</v>
      </c>
      <c r="O1564" s="10">
        <v>2007</v>
      </c>
    </row>
    <row r="1565" spans="2:15" s="9" customFormat="1" ht="12.75">
      <c r="B1565" s="16"/>
      <c r="C1565" s="10" t="s">
        <v>343</v>
      </c>
      <c r="D1565" s="9" t="s">
        <v>412</v>
      </c>
      <c r="E1565" s="9">
        <v>4864255</v>
      </c>
      <c r="F1565" s="84">
        <f>G1565-H1565</f>
        <v>11205</v>
      </c>
      <c r="G1565" s="9">
        <v>4869706</v>
      </c>
      <c r="H1565" s="11">
        <v>4858501</v>
      </c>
      <c r="I1565" s="276" t="s">
        <v>413</v>
      </c>
      <c r="J1565" s="278">
        <f>501-57</f>
        <v>444</v>
      </c>
      <c r="K1565" s="9">
        <v>0</v>
      </c>
      <c r="L1565" s="9">
        <v>12255</v>
      </c>
      <c r="M1565" s="10">
        <v>1984</v>
      </c>
      <c r="N1565" s="9" t="s">
        <v>409</v>
      </c>
      <c r="O1565" s="10">
        <v>2008</v>
      </c>
    </row>
    <row r="1566" spans="2:15" s="9" customFormat="1" ht="12.75">
      <c r="B1566" s="16"/>
      <c r="C1566" s="10"/>
      <c r="E1566" s="9">
        <v>4864256</v>
      </c>
      <c r="F1566" s="84"/>
      <c r="G1566" s="13" t="s">
        <v>414</v>
      </c>
      <c r="H1566" s="11">
        <v>4858525</v>
      </c>
      <c r="I1566" s="274"/>
      <c r="J1566" s="280"/>
      <c r="K1566" s="9">
        <v>0</v>
      </c>
      <c r="L1566" s="9">
        <v>12256</v>
      </c>
      <c r="M1566" s="10">
        <v>1984</v>
      </c>
      <c r="N1566" s="9" t="s">
        <v>409</v>
      </c>
      <c r="O1566" s="10" t="s">
        <v>111</v>
      </c>
    </row>
    <row r="1567" spans="2:15" s="9" customFormat="1" ht="12.75">
      <c r="B1567" s="16"/>
      <c r="E1567" s="11">
        <v>4864257</v>
      </c>
      <c r="F1567" s="84"/>
      <c r="G1567" s="9">
        <v>0</v>
      </c>
      <c r="H1567" s="9">
        <v>0</v>
      </c>
      <c r="I1567" s="274"/>
      <c r="J1567" s="48"/>
      <c r="K1567" s="9">
        <v>0</v>
      </c>
      <c r="L1567" s="9">
        <v>12257</v>
      </c>
      <c r="M1567" s="10">
        <v>1984</v>
      </c>
      <c r="N1567" s="9" t="s">
        <v>409</v>
      </c>
      <c r="O1567" s="10">
        <v>2007</v>
      </c>
    </row>
    <row r="1568" spans="2:15" s="9" customFormat="1" ht="12.75">
      <c r="B1568" s="16"/>
      <c r="C1568" s="10" t="s">
        <v>343</v>
      </c>
      <c r="D1568" s="9" t="s">
        <v>415</v>
      </c>
      <c r="E1568" s="9">
        <v>4864261</v>
      </c>
      <c r="F1568" s="84">
        <f>G1568-H1568</f>
        <v>4805</v>
      </c>
      <c r="G1568" s="9">
        <v>4869766</v>
      </c>
      <c r="H1568" s="91">
        <v>4864961</v>
      </c>
      <c r="I1568" s="276" t="s">
        <v>416</v>
      </c>
      <c r="J1568" s="278">
        <f>961-18</f>
        <v>943</v>
      </c>
      <c r="K1568" s="9">
        <v>0</v>
      </c>
      <c r="L1568" s="9">
        <v>12261</v>
      </c>
      <c r="M1568" s="10">
        <v>1984</v>
      </c>
      <c r="N1568" s="9" t="s">
        <v>409</v>
      </c>
      <c r="O1568" s="10">
        <v>2008</v>
      </c>
    </row>
    <row r="1569" spans="2:15" s="9" customFormat="1" ht="12.75">
      <c r="B1569" s="16"/>
      <c r="C1569" s="10" t="s">
        <v>343</v>
      </c>
      <c r="D1569" s="9" t="s">
        <v>417</v>
      </c>
      <c r="E1569" s="9">
        <v>4864263</v>
      </c>
      <c r="F1569" s="84">
        <f>G1569-H1569</f>
        <v>11205</v>
      </c>
      <c r="G1569" s="9">
        <v>4869709</v>
      </c>
      <c r="H1569" s="11">
        <v>4858504</v>
      </c>
      <c r="I1569" s="276" t="s">
        <v>418</v>
      </c>
      <c r="J1569" s="278">
        <f>504-60</f>
        <v>444</v>
      </c>
      <c r="K1569" s="9">
        <v>0</v>
      </c>
      <c r="L1569" s="9">
        <v>12263</v>
      </c>
      <c r="M1569" s="10">
        <v>1984</v>
      </c>
      <c r="N1569" s="9" t="s">
        <v>405</v>
      </c>
      <c r="O1569" s="10">
        <v>2008</v>
      </c>
    </row>
    <row r="1570" spans="2:15" s="9" customFormat="1" ht="12.75">
      <c r="B1570" s="16"/>
      <c r="E1570" s="11">
        <v>4864268</v>
      </c>
      <c r="F1570" s="84"/>
      <c r="G1570" s="9">
        <v>0</v>
      </c>
      <c r="H1570" s="9">
        <v>0</v>
      </c>
      <c r="I1570" s="274"/>
      <c r="J1570" s="278"/>
      <c r="K1570" s="9">
        <v>0</v>
      </c>
      <c r="L1570" s="9">
        <v>12268</v>
      </c>
      <c r="M1570" s="10">
        <v>1984</v>
      </c>
      <c r="N1570" s="9" t="s">
        <v>409</v>
      </c>
      <c r="O1570" s="10">
        <v>2006</v>
      </c>
    </row>
    <row r="1571" spans="2:15" s="9" customFormat="1" ht="12.75">
      <c r="B1571" s="16"/>
      <c r="E1571" s="84">
        <v>4864270</v>
      </c>
      <c r="F1571" s="84"/>
      <c r="G1571" s="66">
        <v>4869791</v>
      </c>
      <c r="I1571" s="274"/>
      <c r="J1571" s="278"/>
      <c r="M1571" s="10"/>
      <c r="O1571" s="10" t="s">
        <v>164</v>
      </c>
    </row>
    <row r="1572" spans="2:15" s="9" customFormat="1" ht="12.75">
      <c r="B1572" s="16"/>
      <c r="E1572" s="11">
        <v>4864271</v>
      </c>
      <c r="F1572" s="84"/>
      <c r="G1572" s="9">
        <v>0</v>
      </c>
      <c r="H1572" s="9">
        <v>0</v>
      </c>
      <c r="J1572" s="278"/>
      <c r="K1572" s="9">
        <v>0</v>
      </c>
      <c r="L1572" s="9">
        <v>12271</v>
      </c>
      <c r="M1572" s="10">
        <v>1984</v>
      </c>
      <c r="N1572" s="9" t="s">
        <v>409</v>
      </c>
      <c r="O1572" s="10">
        <v>2008</v>
      </c>
    </row>
    <row r="1573" spans="2:15" s="9" customFormat="1" ht="12.75">
      <c r="B1573" s="16"/>
      <c r="D1573" s="120" t="s">
        <v>419</v>
      </c>
      <c r="E1573" s="9">
        <v>4864272</v>
      </c>
      <c r="F1573" s="84">
        <f>G1573-H1573</f>
        <v>4805</v>
      </c>
      <c r="G1573" s="9">
        <v>4869778</v>
      </c>
      <c r="H1573" s="9">
        <v>4864973</v>
      </c>
      <c r="J1573" s="84"/>
      <c r="K1573" s="9">
        <v>0</v>
      </c>
      <c r="L1573" s="9">
        <v>12272</v>
      </c>
      <c r="M1573" s="10"/>
      <c r="O1573" s="10"/>
    </row>
    <row r="1574" spans="2:15" s="9" customFormat="1" ht="12.75">
      <c r="B1574" s="16"/>
      <c r="E1574" s="9">
        <v>4864274</v>
      </c>
      <c r="F1574" s="12"/>
      <c r="G1574" s="9">
        <v>4869775</v>
      </c>
      <c r="J1574" s="84"/>
      <c r="K1574" s="9">
        <v>0</v>
      </c>
      <c r="L1574" s="9">
        <v>12274</v>
      </c>
      <c r="M1574" s="10"/>
      <c r="O1574" s="10"/>
    </row>
    <row r="1575" spans="2:15" s="9" customFormat="1" ht="12.75">
      <c r="B1575" s="16"/>
      <c r="C1575" s="9" t="s">
        <v>420</v>
      </c>
      <c r="D1575" s="9" t="s">
        <v>421</v>
      </c>
      <c r="E1575" s="81">
        <v>4864279</v>
      </c>
      <c r="F1575" s="12"/>
      <c r="G1575" s="9">
        <v>0</v>
      </c>
      <c r="H1575" s="9">
        <v>0</v>
      </c>
      <c r="J1575" s="84"/>
      <c r="K1575" s="9">
        <v>0</v>
      </c>
      <c r="L1575" s="9">
        <v>12279</v>
      </c>
      <c r="M1575" s="13" t="s">
        <v>422</v>
      </c>
      <c r="N1575" s="9" t="s">
        <v>409</v>
      </c>
      <c r="O1575" s="10">
        <v>2008</v>
      </c>
    </row>
    <row r="1576" spans="2:15" s="9" customFormat="1" ht="12.75">
      <c r="B1576" s="16"/>
      <c r="E1576" s="9">
        <v>4864281</v>
      </c>
      <c r="F1576" s="131" t="s">
        <v>423</v>
      </c>
      <c r="G1576" s="10" t="s">
        <v>424</v>
      </c>
      <c r="H1576" s="9">
        <v>4864994</v>
      </c>
      <c r="J1576" s="84"/>
      <c r="K1576" s="9">
        <v>0</v>
      </c>
      <c r="L1576" s="9">
        <v>12281</v>
      </c>
      <c r="M1576" s="10"/>
      <c r="O1576" s="10"/>
    </row>
    <row r="1577" spans="2:15" s="9" customFormat="1" ht="12.75">
      <c r="B1577" s="9" t="s">
        <v>421</v>
      </c>
      <c r="C1577" s="10" t="s">
        <v>343</v>
      </c>
      <c r="D1577" s="9" t="s">
        <v>425</v>
      </c>
      <c r="E1577" s="9">
        <v>4864282</v>
      </c>
      <c r="F1577" s="12">
        <v>11205</v>
      </c>
      <c r="G1577" s="10">
        <v>4869737</v>
      </c>
      <c r="H1577" s="102">
        <v>4858532</v>
      </c>
      <c r="I1577" s="276" t="s">
        <v>426</v>
      </c>
      <c r="J1577" s="278">
        <f>532-88</f>
        <v>444</v>
      </c>
      <c r="K1577" s="12">
        <v>0</v>
      </c>
      <c r="L1577" s="9">
        <v>12282</v>
      </c>
      <c r="M1577" s="10">
        <v>1984</v>
      </c>
      <c r="N1577" s="9" t="s">
        <v>409</v>
      </c>
      <c r="O1577" s="10">
        <v>2012</v>
      </c>
    </row>
    <row r="1578" spans="2:15" s="9" customFormat="1" ht="12.75">
      <c r="B1578" s="16"/>
      <c r="D1578" s="198" t="s">
        <v>421</v>
      </c>
      <c r="E1578" s="79">
        <v>4864284</v>
      </c>
      <c r="F1578" s="12"/>
      <c r="G1578" s="10">
        <v>0</v>
      </c>
      <c r="H1578" s="9">
        <v>0</v>
      </c>
      <c r="J1578" s="84"/>
      <c r="K1578" s="9">
        <v>0</v>
      </c>
      <c r="L1578" s="9">
        <v>12284</v>
      </c>
      <c r="M1578" s="13" t="s">
        <v>427</v>
      </c>
      <c r="N1578" s="9" t="s">
        <v>409</v>
      </c>
      <c r="O1578" s="10" t="s">
        <v>86</v>
      </c>
    </row>
    <row r="1579" spans="2:15" s="9" customFormat="1" ht="12.75">
      <c r="B1579" s="16"/>
      <c r="E1579" s="9">
        <v>4864286</v>
      </c>
      <c r="F1579" s="12">
        <v>11205</v>
      </c>
      <c r="G1579" s="10">
        <v>4869741</v>
      </c>
      <c r="H1579" s="39">
        <v>4858536</v>
      </c>
      <c r="I1579" s="39"/>
      <c r="J1579" s="84"/>
      <c r="K1579" s="9">
        <v>0</v>
      </c>
      <c r="L1579" s="9">
        <v>12286</v>
      </c>
      <c r="M1579" s="10">
        <v>1984</v>
      </c>
      <c r="N1579" s="9" t="s">
        <v>409</v>
      </c>
      <c r="O1579" s="10" t="s">
        <v>30</v>
      </c>
    </row>
    <row r="1580" spans="2:15" s="9" customFormat="1" ht="12.75">
      <c r="B1580" s="16"/>
      <c r="E1580" s="235">
        <v>4864295</v>
      </c>
      <c r="F1580" s="12"/>
      <c r="G1580" s="10">
        <v>0</v>
      </c>
      <c r="H1580" s="249">
        <v>0</v>
      </c>
      <c r="I1580" s="39"/>
      <c r="J1580" s="84"/>
      <c r="K1580" s="198">
        <v>0</v>
      </c>
      <c r="L1580" s="198">
        <v>12295</v>
      </c>
      <c r="M1580" s="13" t="s">
        <v>427</v>
      </c>
      <c r="N1580" s="198" t="s">
        <v>409</v>
      </c>
      <c r="O1580" s="10">
        <v>2010</v>
      </c>
    </row>
    <row r="1581" spans="2:15" s="9" customFormat="1" ht="12.75">
      <c r="B1581" s="16"/>
      <c r="E1581" s="235">
        <v>4864301</v>
      </c>
      <c r="F1581" s="12"/>
      <c r="G1581" s="10">
        <v>0</v>
      </c>
      <c r="H1581" s="249">
        <v>0</v>
      </c>
      <c r="I1581" s="39"/>
      <c r="J1581" s="84"/>
      <c r="K1581" s="198">
        <v>0</v>
      </c>
      <c r="L1581" s="198">
        <v>12301</v>
      </c>
      <c r="M1581" s="13">
        <v>1984</v>
      </c>
      <c r="N1581" s="198" t="s">
        <v>409</v>
      </c>
      <c r="O1581" s="10">
        <v>2012</v>
      </c>
    </row>
    <row r="1582" spans="2:15" s="9" customFormat="1" ht="12.75">
      <c r="B1582" s="16"/>
      <c r="E1582" s="9">
        <v>4864304</v>
      </c>
      <c r="F1582" s="12">
        <v>11205</v>
      </c>
      <c r="G1582" s="10">
        <v>4869733</v>
      </c>
      <c r="H1582" s="39">
        <v>4858528</v>
      </c>
      <c r="I1582" s="39"/>
      <c r="J1582" s="84"/>
      <c r="L1582" s="9">
        <v>12304</v>
      </c>
      <c r="M1582" s="10">
        <v>1984</v>
      </c>
      <c r="N1582" s="9" t="s">
        <v>409</v>
      </c>
      <c r="O1582" s="10" t="s">
        <v>30</v>
      </c>
    </row>
    <row r="1583" spans="2:15" s="9" customFormat="1" ht="12.75">
      <c r="B1583" s="16"/>
      <c r="E1583" s="77">
        <v>4864305</v>
      </c>
      <c r="F1583" s="12"/>
      <c r="G1583" s="10">
        <v>0</v>
      </c>
      <c r="H1583" s="9">
        <v>0</v>
      </c>
      <c r="J1583" s="84"/>
      <c r="K1583" s="9">
        <v>0</v>
      </c>
      <c r="L1583" s="9">
        <v>12305</v>
      </c>
      <c r="M1583" s="10">
        <v>1984</v>
      </c>
      <c r="N1583" s="9" t="s">
        <v>409</v>
      </c>
      <c r="O1583" s="10">
        <v>2008</v>
      </c>
    </row>
    <row r="1584" spans="2:15" s="9" customFormat="1" ht="12.75">
      <c r="B1584" s="16"/>
      <c r="E1584" s="11">
        <v>4864306</v>
      </c>
      <c r="F1584" s="12"/>
      <c r="G1584" s="9">
        <v>0</v>
      </c>
      <c r="H1584" s="9">
        <v>0</v>
      </c>
      <c r="J1584" s="84"/>
      <c r="M1584" s="10">
        <v>1984</v>
      </c>
      <c r="N1584" s="9" t="s">
        <v>405</v>
      </c>
      <c r="O1584" s="10">
        <v>2005</v>
      </c>
    </row>
    <row r="1585" spans="2:15" s="9" customFormat="1" ht="12.75">
      <c r="B1585" s="16" t="s">
        <v>281</v>
      </c>
      <c r="E1585" s="11">
        <v>4864307</v>
      </c>
      <c r="F1585" s="12"/>
      <c r="G1585" s="9">
        <v>0</v>
      </c>
      <c r="H1585" s="9">
        <v>0</v>
      </c>
      <c r="J1585" s="84"/>
      <c r="K1585" s="9">
        <v>0</v>
      </c>
      <c r="L1585" s="9">
        <v>12307</v>
      </c>
      <c r="M1585" s="10">
        <v>1984</v>
      </c>
      <c r="N1585" s="9" t="s">
        <v>409</v>
      </c>
      <c r="O1585" s="10">
        <v>2007</v>
      </c>
    </row>
    <row r="1586" spans="2:15" s="9" customFormat="1" ht="12.75">
      <c r="B1586" s="16"/>
      <c r="E1586" s="9">
        <v>4864314</v>
      </c>
      <c r="F1586" s="12"/>
      <c r="G1586" s="9">
        <v>4869206</v>
      </c>
      <c r="J1586" s="84"/>
      <c r="K1586" s="9">
        <v>0</v>
      </c>
      <c r="L1586" s="9">
        <v>12314</v>
      </c>
      <c r="M1586" s="10"/>
      <c r="O1586" s="10"/>
    </row>
    <row r="1587" spans="2:15" s="9" customFormat="1" ht="12.75">
      <c r="B1587" s="16"/>
      <c r="E1587" s="11">
        <v>4864316</v>
      </c>
      <c r="F1587" s="12"/>
      <c r="G1587" s="9">
        <v>0</v>
      </c>
      <c r="H1587" s="9">
        <v>0</v>
      </c>
      <c r="J1587" s="84"/>
      <c r="M1587" s="10">
        <v>1984</v>
      </c>
      <c r="N1587" s="9" t="s">
        <v>405</v>
      </c>
      <c r="O1587" s="10">
        <v>2004</v>
      </c>
    </row>
    <row r="1588" spans="2:15" s="9" customFormat="1" ht="12.75">
      <c r="B1588" s="16"/>
      <c r="E1588" s="53">
        <v>4864321</v>
      </c>
      <c r="F1588" s="12"/>
      <c r="J1588" s="84"/>
      <c r="K1588" s="9">
        <v>0</v>
      </c>
      <c r="L1588" s="9">
        <v>12321</v>
      </c>
      <c r="M1588" s="10">
        <v>1984</v>
      </c>
      <c r="N1588" s="9" t="s">
        <v>409</v>
      </c>
      <c r="O1588" s="13" t="s">
        <v>133</v>
      </c>
    </row>
    <row r="1589" spans="2:15" s="9" customFormat="1" ht="12.75">
      <c r="B1589" s="16"/>
      <c r="C1589" s="10" t="s">
        <v>343</v>
      </c>
      <c r="D1589" s="9" t="s">
        <v>428</v>
      </c>
      <c r="E1589" s="9">
        <v>4864326</v>
      </c>
      <c r="F1589" s="12">
        <v>11205</v>
      </c>
      <c r="G1589" s="9">
        <v>4869715</v>
      </c>
      <c r="H1589" s="11">
        <v>4858510</v>
      </c>
      <c r="I1589" s="276" t="s">
        <v>429</v>
      </c>
      <c r="J1589" s="278">
        <f>510-66</f>
        <v>444</v>
      </c>
      <c r="K1589" s="9">
        <v>0</v>
      </c>
      <c r="L1589" s="9">
        <v>12326</v>
      </c>
      <c r="M1589" s="10">
        <v>1984</v>
      </c>
      <c r="N1589" s="9" t="s">
        <v>405</v>
      </c>
      <c r="O1589" s="10">
        <v>2006</v>
      </c>
    </row>
    <row r="1590" spans="2:15" s="9" customFormat="1" ht="12.75">
      <c r="B1590" s="16" t="s">
        <v>281</v>
      </c>
      <c r="E1590" s="11">
        <v>4864328</v>
      </c>
      <c r="F1590" s="12"/>
      <c r="G1590" s="9">
        <v>0</v>
      </c>
      <c r="H1590" s="9">
        <v>0</v>
      </c>
      <c r="J1590" s="84"/>
      <c r="K1590" s="9">
        <v>0</v>
      </c>
      <c r="L1590" s="9">
        <v>12328</v>
      </c>
      <c r="M1590" s="10" t="s">
        <v>430</v>
      </c>
      <c r="N1590" s="9" t="s">
        <v>409</v>
      </c>
      <c r="O1590" s="10">
        <v>2007</v>
      </c>
    </row>
    <row r="1591" spans="2:15" s="9" customFormat="1" ht="12.75">
      <c r="B1591" s="16"/>
      <c r="E1591" s="11">
        <v>4864329</v>
      </c>
      <c r="F1591" s="12"/>
      <c r="G1591" s="9">
        <v>0</v>
      </c>
      <c r="H1591" s="9">
        <v>0</v>
      </c>
      <c r="J1591" s="84"/>
      <c r="K1591" s="9">
        <v>0</v>
      </c>
      <c r="L1591" s="9">
        <v>12329</v>
      </c>
      <c r="M1591" s="10">
        <v>1984</v>
      </c>
      <c r="N1591" s="9" t="s">
        <v>405</v>
      </c>
      <c r="O1591" s="10">
        <v>2008</v>
      </c>
    </row>
    <row r="1592" spans="2:15" s="9" customFormat="1" ht="12.75">
      <c r="B1592" s="16"/>
      <c r="E1592" s="11">
        <v>4864331</v>
      </c>
      <c r="F1592" s="12"/>
      <c r="J1592" s="84"/>
      <c r="L1592" s="198">
        <v>12331</v>
      </c>
      <c r="M1592" s="13" t="s">
        <v>431</v>
      </c>
      <c r="N1592" s="198" t="s">
        <v>405</v>
      </c>
      <c r="O1592" s="10">
        <v>2012</v>
      </c>
    </row>
    <row r="1593" spans="2:15" s="9" customFormat="1" ht="12.75">
      <c r="B1593" s="16"/>
      <c r="E1593" s="11">
        <v>4864333</v>
      </c>
      <c r="F1593" s="12"/>
      <c r="J1593" s="84"/>
      <c r="M1593" s="10"/>
      <c r="O1593" s="10">
        <v>2008</v>
      </c>
    </row>
    <row r="1594" spans="2:15" s="9" customFormat="1" ht="12.75">
      <c r="B1594" s="16" t="s">
        <v>281</v>
      </c>
      <c r="E1594" s="11">
        <v>4864334</v>
      </c>
      <c r="F1594" s="12"/>
      <c r="G1594" s="9">
        <v>0</v>
      </c>
      <c r="H1594" s="9">
        <v>0</v>
      </c>
      <c r="J1594" s="84"/>
      <c r="K1594" s="9">
        <v>0</v>
      </c>
      <c r="L1594" s="9">
        <v>12334</v>
      </c>
      <c r="M1594" s="10">
        <v>1984</v>
      </c>
      <c r="N1594" s="9" t="s">
        <v>409</v>
      </c>
      <c r="O1594" s="10">
        <v>2006</v>
      </c>
    </row>
    <row r="1595" spans="2:15" s="9" customFormat="1" ht="12.75">
      <c r="B1595" s="16"/>
      <c r="E1595" s="9">
        <v>4864340</v>
      </c>
      <c r="F1595" s="12"/>
      <c r="G1595" s="9">
        <v>4869221</v>
      </c>
      <c r="J1595" s="84"/>
      <c r="K1595" s="9">
        <v>0</v>
      </c>
      <c r="L1595" s="9">
        <v>12340</v>
      </c>
      <c r="M1595" s="10"/>
      <c r="O1595" s="10"/>
    </row>
    <row r="1596" spans="2:15" s="9" customFormat="1" ht="12.75">
      <c r="B1596" s="16"/>
      <c r="E1596" s="9">
        <v>4864341</v>
      </c>
      <c r="F1596" s="12"/>
      <c r="G1596" s="9">
        <v>4869249</v>
      </c>
      <c r="J1596" s="84"/>
      <c r="K1596" s="9">
        <v>0</v>
      </c>
      <c r="L1596" s="9">
        <v>12341</v>
      </c>
      <c r="M1596" s="10"/>
      <c r="O1596" s="10"/>
    </row>
    <row r="1597" spans="2:15" s="9" customFormat="1" ht="12.75">
      <c r="B1597" s="16"/>
      <c r="E1597" s="11">
        <v>4864343</v>
      </c>
      <c r="F1597" s="12"/>
      <c r="G1597" s="9">
        <v>0</v>
      </c>
      <c r="H1597" s="9">
        <v>0</v>
      </c>
      <c r="J1597" s="84"/>
      <c r="K1597" s="9">
        <v>0</v>
      </c>
      <c r="L1597" s="9">
        <v>12343</v>
      </c>
      <c r="M1597" s="10">
        <v>1984</v>
      </c>
      <c r="N1597" s="9" t="s">
        <v>405</v>
      </c>
      <c r="O1597" s="10">
        <v>2004</v>
      </c>
    </row>
    <row r="1598" spans="2:15" s="9" customFormat="1" ht="12.75">
      <c r="B1598" s="16"/>
      <c r="E1598" s="11">
        <v>4864344</v>
      </c>
      <c r="F1598" s="12"/>
      <c r="G1598" s="9">
        <v>0</v>
      </c>
      <c r="H1598" s="9">
        <v>0</v>
      </c>
      <c r="J1598" s="84"/>
      <c r="K1598" s="9">
        <v>0</v>
      </c>
      <c r="L1598" s="9">
        <v>12344</v>
      </c>
      <c r="M1598" s="10">
        <v>1984</v>
      </c>
      <c r="N1598" s="9" t="s">
        <v>409</v>
      </c>
      <c r="O1598" s="10">
        <v>2006</v>
      </c>
    </row>
    <row r="1599" spans="2:15" s="9" customFormat="1" ht="12.75">
      <c r="B1599" s="16"/>
      <c r="E1599" s="9">
        <v>4864347</v>
      </c>
      <c r="F1599" s="12"/>
      <c r="G1599" s="9">
        <v>4869216</v>
      </c>
      <c r="J1599" s="84"/>
      <c r="K1599" s="9">
        <v>0</v>
      </c>
      <c r="L1599" s="9">
        <v>12347</v>
      </c>
      <c r="M1599" s="10"/>
      <c r="O1599" s="10"/>
    </row>
    <row r="1600" spans="2:15" s="9" customFormat="1" ht="12.75">
      <c r="B1600" s="16" t="s">
        <v>281</v>
      </c>
      <c r="E1600" s="11">
        <v>4864351</v>
      </c>
      <c r="F1600" s="12"/>
      <c r="G1600" s="9">
        <v>0</v>
      </c>
      <c r="H1600" s="9">
        <v>0</v>
      </c>
      <c r="J1600" s="84"/>
      <c r="K1600" s="9">
        <v>0</v>
      </c>
      <c r="L1600" s="9">
        <v>12351</v>
      </c>
      <c r="M1600" s="10">
        <v>1984</v>
      </c>
      <c r="N1600" s="9" t="s">
        <v>409</v>
      </c>
      <c r="O1600" s="10">
        <v>2006</v>
      </c>
    </row>
    <row r="1601" spans="2:15" s="9" customFormat="1" ht="12.75">
      <c r="B1601" s="16"/>
      <c r="E1601" s="9">
        <v>4864352</v>
      </c>
      <c r="F1601" s="12"/>
      <c r="J1601" s="84"/>
      <c r="K1601" s="9">
        <v>0</v>
      </c>
      <c r="L1601" s="9">
        <v>12352</v>
      </c>
      <c r="M1601" s="10">
        <v>1984</v>
      </c>
      <c r="N1601" s="9" t="s">
        <v>409</v>
      </c>
      <c r="O1601" s="10"/>
    </row>
    <row r="1602" spans="2:15" s="9" customFormat="1" ht="12.75">
      <c r="B1602" s="16"/>
      <c r="C1602" s="10" t="s">
        <v>343</v>
      </c>
      <c r="D1602" s="9" t="s">
        <v>432</v>
      </c>
      <c r="E1602" s="9">
        <v>4864358</v>
      </c>
      <c r="F1602" s="12">
        <v>4760</v>
      </c>
      <c r="G1602" s="9">
        <v>4869703</v>
      </c>
      <c r="H1602" s="11">
        <v>4864943</v>
      </c>
      <c r="I1602" s="276" t="s">
        <v>433</v>
      </c>
      <c r="J1602" s="278">
        <f>943-54</f>
        <v>889</v>
      </c>
      <c r="K1602" s="9">
        <v>0</v>
      </c>
      <c r="L1602" s="9">
        <v>12358</v>
      </c>
      <c r="M1602" s="10">
        <v>1984</v>
      </c>
      <c r="N1602" s="9" t="s">
        <v>409</v>
      </c>
      <c r="O1602" s="10">
        <v>2006</v>
      </c>
    </row>
    <row r="1603" spans="2:15" s="9" customFormat="1" ht="12.75">
      <c r="B1603" s="16"/>
      <c r="E1603" s="11">
        <v>4864359</v>
      </c>
      <c r="F1603" s="12"/>
      <c r="G1603" s="9">
        <v>0</v>
      </c>
      <c r="H1603" s="9">
        <v>0</v>
      </c>
      <c r="J1603" s="84"/>
      <c r="K1603" s="9">
        <v>0</v>
      </c>
      <c r="L1603" s="9">
        <v>12359</v>
      </c>
      <c r="M1603" s="10">
        <v>1985</v>
      </c>
      <c r="N1603" s="9" t="s">
        <v>409</v>
      </c>
      <c r="O1603" s="10">
        <v>2005</v>
      </c>
    </row>
    <row r="1604" spans="2:15" s="9" customFormat="1" ht="12.75">
      <c r="B1604" s="16"/>
      <c r="E1604" s="9">
        <v>4864369</v>
      </c>
      <c r="F1604" s="12"/>
      <c r="G1604" s="9">
        <v>4869238</v>
      </c>
      <c r="J1604" s="84"/>
      <c r="K1604" s="9">
        <v>0</v>
      </c>
      <c r="L1604" s="9">
        <v>12369</v>
      </c>
      <c r="M1604" s="10"/>
      <c r="O1604" s="10"/>
    </row>
    <row r="1605" spans="2:15" s="9" customFormat="1" ht="12.75">
      <c r="B1605" s="16"/>
      <c r="E1605" s="9">
        <v>4864371</v>
      </c>
      <c r="F1605" s="12"/>
      <c r="G1605" s="9" t="s">
        <v>434</v>
      </c>
      <c r="H1605" s="127" t="s">
        <v>435</v>
      </c>
      <c r="I1605" s="127"/>
      <c r="J1605" s="84" t="s">
        <v>436</v>
      </c>
      <c r="M1605" s="10"/>
      <c r="O1605" s="10" t="s">
        <v>203</v>
      </c>
    </row>
    <row r="1606" spans="2:15" s="9" customFormat="1" ht="12.75">
      <c r="B1606" s="16"/>
      <c r="E1606" s="9">
        <v>4864372</v>
      </c>
      <c r="F1606" s="12"/>
      <c r="G1606" s="9">
        <v>4869721</v>
      </c>
      <c r="J1606" s="84"/>
      <c r="K1606" s="9">
        <v>0</v>
      </c>
      <c r="L1606" s="9">
        <v>12372</v>
      </c>
      <c r="M1606" s="10"/>
      <c r="O1606" s="10"/>
    </row>
    <row r="1607" spans="2:15" s="9" customFormat="1" ht="12.75">
      <c r="B1607" s="16"/>
      <c r="E1607" s="9">
        <v>4864374</v>
      </c>
      <c r="F1607" s="12">
        <v>11205</v>
      </c>
      <c r="G1607" s="9">
        <v>4869736</v>
      </c>
      <c r="H1607" s="9">
        <v>4858531</v>
      </c>
      <c r="J1607" s="84"/>
      <c r="K1607" s="9">
        <v>0</v>
      </c>
      <c r="L1607" s="9">
        <v>12374</v>
      </c>
      <c r="M1607" s="10"/>
      <c r="O1607" s="10"/>
    </row>
    <row r="1608" spans="2:15" s="9" customFormat="1" ht="12.75">
      <c r="B1608" s="16"/>
      <c r="E1608" s="11">
        <v>4864376</v>
      </c>
      <c r="F1608" s="12"/>
      <c r="G1608" s="9">
        <v>0</v>
      </c>
      <c r="H1608" s="9">
        <v>0</v>
      </c>
      <c r="K1608" s="9">
        <v>0</v>
      </c>
      <c r="L1608" s="9">
        <v>12376</v>
      </c>
      <c r="M1608" s="10">
        <v>1985</v>
      </c>
      <c r="N1608" s="9" t="s">
        <v>409</v>
      </c>
      <c r="O1608" s="10">
        <v>2008</v>
      </c>
    </row>
    <row r="1609" spans="2:15" s="9" customFormat="1" ht="12.75">
      <c r="B1609" s="16"/>
      <c r="E1609" s="11">
        <v>4864377</v>
      </c>
      <c r="F1609" s="12"/>
      <c r="G1609" s="9">
        <v>0</v>
      </c>
      <c r="H1609" s="9">
        <v>0</v>
      </c>
      <c r="K1609" s="9">
        <v>0</v>
      </c>
      <c r="L1609" s="9">
        <v>12377</v>
      </c>
      <c r="M1609" s="13" t="s">
        <v>437</v>
      </c>
      <c r="N1609" s="9" t="s">
        <v>409</v>
      </c>
      <c r="O1609" s="10">
        <v>2008</v>
      </c>
    </row>
    <row r="1610" spans="2:15" s="9" customFormat="1" ht="12.75">
      <c r="B1610" s="16"/>
      <c r="E1610" s="9">
        <v>4864388</v>
      </c>
      <c r="F1610" s="12"/>
      <c r="G1610" s="9">
        <v>4869246</v>
      </c>
      <c r="K1610" s="9">
        <v>0</v>
      </c>
      <c r="L1610" s="9">
        <v>12388</v>
      </c>
      <c r="M1610" s="10"/>
      <c r="O1610" s="10"/>
    </row>
    <row r="1611" spans="2:15" s="9" customFormat="1" ht="12.75">
      <c r="B1611" s="16"/>
      <c r="E1611" s="9">
        <v>4864391</v>
      </c>
      <c r="F1611" s="12"/>
      <c r="G1611" s="9">
        <v>4869705</v>
      </c>
      <c r="K1611" s="9">
        <v>0</v>
      </c>
      <c r="L1611" s="9">
        <v>12391</v>
      </c>
      <c r="M1611" s="10"/>
      <c r="O1611" s="10"/>
    </row>
    <row r="1612" spans="2:15" s="9" customFormat="1" ht="12.75">
      <c r="B1612" s="16"/>
      <c r="E1612" s="11">
        <v>4864392</v>
      </c>
      <c r="F1612" s="12"/>
      <c r="G1612" s="9">
        <v>0</v>
      </c>
      <c r="H1612" s="9">
        <v>0</v>
      </c>
      <c r="K1612" s="9">
        <v>0</v>
      </c>
      <c r="L1612" s="9">
        <v>12392</v>
      </c>
      <c r="M1612" s="10">
        <v>1985</v>
      </c>
      <c r="N1612" s="9" t="s">
        <v>405</v>
      </c>
      <c r="O1612" s="10">
        <v>2004</v>
      </c>
    </row>
    <row r="1613" spans="2:15" s="9" customFormat="1" ht="12.75">
      <c r="B1613" s="9" t="s">
        <v>166</v>
      </c>
      <c r="C1613" s="9" t="s">
        <v>438</v>
      </c>
      <c r="D1613" s="9" t="s">
        <v>439</v>
      </c>
      <c r="E1613" s="84">
        <v>4864397</v>
      </c>
      <c r="F1613" s="12"/>
      <c r="G1613" s="66">
        <v>4869731</v>
      </c>
      <c r="M1613" s="10"/>
      <c r="O1613" s="10" t="s">
        <v>440</v>
      </c>
    </row>
    <row r="1614" spans="2:15" s="9" customFormat="1" ht="12.75">
      <c r="B1614" s="16"/>
      <c r="E1614" s="9">
        <v>4864400</v>
      </c>
      <c r="F1614" s="12">
        <v>11205</v>
      </c>
      <c r="G1614" s="9">
        <v>4869739</v>
      </c>
      <c r="H1614" s="39">
        <v>4858534</v>
      </c>
      <c r="I1614" s="39"/>
      <c r="J1614" s="84"/>
      <c r="K1614" s="9">
        <v>0</v>
      </c>
      <c r="L1614" s="9">
        <v>12400</v>
      </c>
      <c r="M1614" s="10">
        <v>1985</v>
      </c>
      <c r="N1614" s="9" t="s">
        <v>405</v>
      </c>
      <c r="O1614" s="10" t="s">
        <v>30</v>
      </c>
    </row>
    <row r="1615" spans="2:15" s="9" customFormat="1" ht="12.75">
      <c r="B1615" s="16"/>
      <c r="E1615" s="11">
        <v>4864412</v>
      </c>
      <c r="F1615" s="12"/>
      <c r="G1615" s="9">
        <v>0</v>
      </c>
      <c r="H1615" s="9">
        <v>0</v>
      </c>
      <c r="K1615" s="9">
        <v>0</v>
      </c>
      <c r="L1615" s="9">
        <v>12412</v>
      </c>
      <c r="M1615" s="10">
        <v>1985</v>
      </c>
      <c r="N1615" s="9" t="s">
        <v>405</v>
      </c>
      <c r="O1615" s="10">
        <v>2004</v>
      </c>
    </row>
    <row r="1616" spans="2:15" s="9" customFormat="1" ht="12.75">
      <c r="B1616" s="16"/>
      <c r="E1616" s="9">
        <v>4864421</v>
      </c>
      <c r="F1616" s="12"/>
      <c r="G1616" s="9">
        <v>4869738</v>
      </c>
      <c r="K1616" s="9">
        <v>0</v>
      </c>
      <c r="L1616" s="9">
        <v>12421</v>
      </c>
      <c r="M1616" s="10"/>
      <c r="O1616" s="10"/>
    </row>
    <row r="1617" spans="2:15" s="9" customFormat="1" ht="12.75">
      <c r="B1617" s="16"/>
      <c r="D1617" s="9" t="s">
        <v>441</v>
      </c>
      <c r="E1617" s="212">
        <v>4864422</v>
      </c>
      <c r="F1617" s="12"/>
      <c r="G1617" s="198">
        <v>0</v>
      </c>
      <c r="H1617" s="198">
        <v>0</v>
      </c>
      <c r="K1617" s="198">
        <v>0</v>
      </c>
      <c r="L1617" s="198">
        <v>12422</v>
      </c>
      <c r="M1617" s="10">
        <v>1985</v>
      </c>
      <c r="N1617" s="9" t="s">
        <v>409</v>
      </c>
      <c r="O1617" s="10">
        <v>2010</v>
      </c>
    </row>
    <row r="1618" spans="2:15" s="9" customFormat="1" ht="12.75">
      <c r="B1618" s="16"/>
      <c r="E1618" s="11">
        <v>4864431</v>
      </c>
      <c r="F1618" s="12"/>
      <c r="G1618" s="9">
        <v>0</v>
      </c>
      <c r="H1618" s="9">
        <v>0</v>
      </c>
      <c r="K1618" s="9">
        <v>0</v>
      </c>
      <c r="L1618" s="9">
        <v>12431</v>
      </c>
      <c r="M1618" s="10">
        <v>1985</v>
      </c>
      <c r="N1618" s="9" t="s">
        <v>409</v>
      </c>
      <c r="O1618" s="10">
        <v>2006</v>
      </c>
    </row>
    <row r="1619" spans="2:15" s="9" customFormat="1" ht="12.75">
      <c r="B1619" s="16"/>
      <c r="E1619" s="11">
        <v>4864432</v>
      </c>
      <c r="F1619" s="12"/>
      <c r="G1619" s="9">
        <v>0</v>
      </c>
      <c r="H1619" s="9">
        <v>0</v>
      </c>
      <c r="K1619" s="9">
        <v>0</v>
      </c>
      <c r="L1619" s="9">
        <v>12432</v>
      </c>
      <c r="M1619" s="10">
        <v>1985</v>
      </c>
      <c r="N1619" s="9" t="s">
        <v>409</v>
      </c>
      <c r="O1619" s="10">
        <v>2006</v>
      </c>
    </row>
    <row r="1620" spans="2:15" s="9" customFormat="1" ht="12.75">
      <c r="B1620" s="9" t="s">
        <v>166</v>
      </c>
      <c r="D1620" s="9" t="s">
        <v>441</v>
      </c>
      <c r="E1620" s="11">
        <v>4864433</v>
      </c>
      <c r="F1620" s="12"/>
      <c r="G1620" s="9">
        <v>0</v>
      </c>
      <c r="H1620" s="9">
        <v>0</v>
      </c>
      <c r="K1620" s="9">
        <v>0</v>
      </c>
      <c r="L1620" s="9">
        <v>12433</v>
      </c>
      <c r="M1620" s="10">
        <v>1985</v>
      </c>
      <c r="N1620" s="9" t="s">
        <v>409</v>
      </c>
      <c r="O1620" s="10" t="s">
        <v>88</v>
      </c>
    </row>
    <row r="1621" spans="2:15" s="9" customFormat="1" ht="12.75">
      <c r="B1621" s="16"/>
      <c r="E1621" s="9">
        <v>4864434</v>
      </c>
      <c r="F1621" s="12">
        <v>4760</v>
      </c>
      <c r="G1621" s="9">
        <v>4869700</v>
      </c>
      <c r="H1621" s="11">
        <v>4864940</v>
      </c>
      <c r="I1621" s="11"/>
      <c r="J1621" s="84"/>
      <c r="K1621" s="9">
        <v>0</v>
      </c>
      <c r="L1621" s="9">
        <v>12434</v>
      </c>
      <c r="M1621" s="10">
        <v>1985</v>
      </c>
      <c r="N1621" s="9" t="s">
        <v>405</v>
      </c>
      <c r="O1621" s="10">
        <v>2006</v>
      </c>
    </row>
    <row r="1622" spans="2:15" s="9" customFormat="1" ht="12.75">
      <c r="B1622" s="16"/>
      <c r="E1622" s="11">
        <v>4864437</v>
      </c>
      <c r="F1622" s="12"/>
      <c r="G1622" s="9">
        <v>0</v>
      </c>
      <c r="H1622" s="9">
        <v>0</v>
      </c>
      <c r="J1622" s="84"/>
      <c r="K1622" s="9">
        <v>0</v>
      </c>
      <c r="L1622" s="9">
        <v>12437</v>
      </c>
      <c r="M1622" s="10">
        <v>1984</v>
      </c>
      <c r="N1622" s="9" t="s">
        <v>409</v>
      </c>
      <c r="O1622" s="10">
        <v>2007</v>
      </c>
    </row>
    <row r="1623" spans="2:15" s="9" customFormat="1" ht="12.75">
      <c r="B1623" s="16"/>
      <c r="E1623" s="11">
        <v>4864439</v>
      </c>
      <c r="F1623" s="12"/>
      <c r="G1623" s="9">
        <v>0</v>
      </c>
      <c r="H1623" s="9">
        <v>0</v>
      </c>
      <c r="J1623" s="84"/>
      <c r="K1623" s="9">
        <v>0</v>
      </c>
      <c r="L1623" s="9">
        <v>12439</v>
      </c>
      <c r="M1623" s="10">
        <v>1985</v>
      </c>
      <c r="N1623" s="9" t="s">
        <v>409</v>
      </c>
      <c r="O1623" s="10">
        <v>2006</v>
      </c>
    </row>
    <row r="1624" spans="2:15" s="9" customFormat="1" ht="12.75">
      <c r="B1624" s="16"/>
      <c r="E1624" s="9">
        <v>4864441</v>
      </c>
      <c r="F1624" s="12"/>
      <c r="G1624" s="9">
        <v>4869716</v>
      </c>
      <c r="J1624" s="84"/>
      <c r="K1624" s="9">
        <v>0</v>
      </c>
      <c r="L1624" s="9">
        <v>12441</v>
      </c>
      <c r="M1624" s="10"/>
      <c r="O1624" s="10"/>
    </row>
    <row r="1625" spans="2:15" s="9" customFormat="1" ht="12.75">
      <c r="B1625" s="16"/>
      <c r="E1625" s="11">
        <v>4864445</v>
      </c>
      <c r="F1625" s="12"/>
      <c r="G1625" s="9">
        <v>0</v>
      </c>
      <c r="H1625" s="9">
        <v>0</v>
      </c>
      <c r="J1625" s="84"/>
      <c r="K1625" s="9">
        <v>0</v>
      </c>
      <c r="L1625" s="9">
        <v>12445</v>
      </c>
      <c r="M1625" s="13" t="s">
        <v>442</v>
      </c>
      <c r="N1625" s="9" t="s">
        <v>409</v>
      </c>
      <c r="O1625" s="10">
        <v>2008</v>
      </c>
    </row>
    <row r="1626" spans="2:15" s="9" customFormat="1" ht="12.75">
      <c r="B1626" s="16" t="s">
        <v>281</v>
      </c>
      <c r="E1626" s="11">
        <v>4864448</v>
      </c>
      <c r="F1626" s="12"/>
      <c r="G1626" s="9">
        <v>0</v>
      </c>
      <c r="H1626" s="9">
        <v>0</v>
      </c>
      <c r="J1626" s="84"/>
      <c r="M1626" s="10">
        <v>1985</v>
      </c>
      <c r="N1626" s="9" t="s">
        <v>409</v>
      </c>
      <c r="O1626" s="10">
        <v>2007</v>
      </c>
    </row>
    <row r="1627" spans="2:15" s="9" customFormat="1" ht="12.75">
      <c r="B1627" s="16"/>
      <c r="D1627" s="9" t="s">
        <v>441</v>
      </c>
      <c r="E1627" s="11">
        <v>4864450</v>
      </c>
      <c r="F1627" s="12"/>
      <c r="J1627" s="84"/>
      <c r="M1627" s="10">
        <v>1985</v>
      </c>
      <c r="N1627" s="9" t="s">
        <v>409</v>
      </c>
      <c r="O1627" s="10">
        <v>2012</v>
      </c>
    </row>
    <row r="1628" spans="2:15" s="9" customFormat="1" ht="12.75">
      <c r="B1628" s="16"/>
      <c r="C1628" s="10" t="s">
        <v>343</v>
      </c>
      <c r="D1628" s="9" t="s">
        <v>443</v>
      </c>
      <c r="E1628" s="75">
        <v>4864462</v>
      </c>
      <c r="F1628" s="12">
        <v>4805</v>
      </c>
      <c r="G1628" s="9">
        <v>4869750</v>
      </c>
      <c r="H1628" s="101">
        <v>4864945</v>
      </c>
      <c r="I1628" s="276" t="s">
        <v>444</v>
      </c>
      <c r="J1628" s="278">
        <f>945-2</f>
        <v>943</v>
      </c>
      <c r="M1628" s="13" t="s">
        <v>445</v>
      </c>
      <c r="N1628" s="9" t="s">
        <v>405</v>
      </c>
      <c r="O1628" s="10">
        <v>2008</v>
      </c>
    </row>
    <row r="1629" spans="2:15" s="9" customFormat="1" ht="12.75">
      <c r="B1629" s="16"/>
      <c r="C1629" s="10"/>
      <c r="D1629" s="9" t="s">
        <v>441</v>
      </c>
      <c r="E1629" s="67">
        <v>4864464</v>
      </c>
      <c r="F1629" s="12"/>
      <c r="G1629" s="9">
        <v>0</v>
      </c>
      <c r="H1629" s="96">
        <v>0</v>
      </c>
      <c r="I1629" s="96"/>
      <c r="J1629" s="84"/>
      <c r="K1629" s="9">
        <v>0</v>
      </c>
      <c r="L1629" s="9">
        <v>12464</v>
      </c>
      <c r="M1629" s="13" t="s">
        <v>445</v>
      </c>
      <c r="N1629" s="9" t="s">
        <v>409</v>
      </c>
      <c r="O1629" s="10">
        <v>2008</v>
      </c>
    </row>
    <row r="1630" spans="2:15" s="9" customFormat="1" ht="12.75">
      <c r="B1630" s="16"/>
      <c r="E1630" s="11">
        <v>4864465</v>
      </c>
      <c r="F1630" s="12"/>
      <c r="G1630" s="9">
        <v>0</v>
      </c>
      <c r="H1630" s="9">
        <v>0</v>
      </c>
      <c r="J1630" s="84"/>
      <c r="M1630" s="10">
        <v>1985</v>
      </c>
      <c r="N1630" s="9" t="s">
        <v>405</v>
      </c>
      <c r="O1630" s="10">
        <v>2005</v>
      </c>
    </row>
    <row r="1631" spans="2:15" s="9" customFormat="1" ht="12.75">
      <c r="B1631" s="16"/>
      <c r="D1631" s="9" t="s">
        <v>441</v>
      </c>
      <c r="E1631" s="11">
        <v>4864466</v>
      </c>
      <c r="F1631" s="12"/>
      <c r="G1631" s="9">
        <v>0</v>
      </c>
      <c r="H1631" s="9">
        <v>0</v>
      </c>
      <c r="J1631" s="84"/>
      <c r="K1631" s="9">
        <v>0</v>
      </c>
      <c r="L1631" s="9">
        <v>12466</v>
      </c>
      <c r="M1631" s="10">
        <v>1985</v>
      </c>
      <c r="N1631" s="9" t="s">
        <v>405</v>
      </c>
      <c r="O1631" s="10">
        <v>2008</v>
      </c>
    </row>
    <row r="1632" spans="2:15" s="9" customFormat="1" ht="12.75">
      <c r="B1632" s="16"/>
      <c r="E1632" s="11">
        <v>4864470</v>
      </c>
      <c r="F1632" s="12"/>
      <c r="G1632" s="9">
        <v>0</v>
      </c>
      <c r="H1632" s="9">
        <v>0</v>
      </c>
      <c r="J1632" s="84"/>
      <c r="K1632" s="9">
        <v>0</v>
      </c>
      <c r="L1632" s="9">
        <v>12470</v>
      </c>
      <c r="M1632" s="10">
        <v>1985</v>
      </c>
      <c r="N1632" s="9" t="s">
        <v>409</v>
      </c>
      <c r="O1632" s="10">
        <v>2005</v>
      </c>
    </row>
    <row r="1633" spans="2:15" s="9" customFormat="1" ht="12.75">
      <c r="B1633" s="16"/>
      <c r="D1633" s="9" t="s">
        <v>441</v>
      </c>
      <c r="E1633" s="11">
        <v>4864474</v>
      </c>
      <c r="F1633" s="12"/>
      <c r="G1633" s="9">
        <v>0</v>
      </c>
      <c r="H1633" s="9">
        <v>0</v>
      </c>
      <c r="J1633" s="84"/>
      <c r="K1633" s="9">
        <v>0</v>
      </c>
      <c r="L1633" s="9">
        <v>12474</v>
      </c>
      <c r="M1633" s="10">
        <v>1985</v>
      </c>
      <c r="N1633" s="9" t="s">
        <v>409</v>
      </c>
      <c r="O1633" s="10">
        <v>2008</v>
      </c>
    </row>
    <row r="1634" spans="2:15" s="9" customFormat="1" ht="12.75">
      <c r="B1634" s="16"/>
      <c r="E1634" s="9">
        <v>4864479</v>
      </c>
      <c r="F1634" s="12"/>
      <c r="G1634" s="9">
        <v>4869712</v>
      </c>
      <c r="J1634" s="84"/>
      <c r="K1634" s="9">
        <v>0</v>
      </c>
      <c r="L1634" s="9">
        <v>12479</v>
      </c>
      <c r="M1634" s="10"/>
      <c r="O1634" s="10"/>
    </row>
    <row r="1635" spans="2:15" s="9" customFormat="1" ht="12.75">
      <c r="B1635" s="16"/>
      <c r="E1635" s="35">
        <v>4864481</v>
      </c>
      <c r="F1635" s="12"/>
      <c r="G1635" s="9">
        <v>0</v>
      </c>
      <c r="H1635" s="9">
        <v>0</v>
      </c>
      <c r="J1635" s="84"/>
      <c r="K1635" s="9">
        <v>0</v>
      </c>
      <c r="L1635" s="9">
        <v>12481</v>
      </c>
      <c r="M1635" s="10">
        <v>1985</v>
      </c>
      <c r="N1635" s="9" t="s">
        <v>405</v>
      </c>
      <c r="O1635" s="10">
        <v>2009</v>
      </c>
    </row>
    <row r="1636" spans="2:15" s="9" customFormat="1" ht="12.75">
      <c r="B1636" s="16"/>
      <c r="D1636" s="9" t="s">
        <v>441</v>
      </c>
      <c r="E1636" s="81">
        <v>4864490</v>
      </c>
      <c r="F1636" s="12"/>
      <c r="G1636" s="9">
        <v>0</v>
      </c>
      <c r="H1636" s="9">
        <v>0</v>
      </c>
      <c r="J1636" s="84"/>
      <c r="K1636" s="9">
        <v>0</v>
      </c>
      <c r="L1636" s="9">
        <v>12490</v>
      </c>
      <c r="M1636" s="13" t="s">
        <v>446</v>
      </c>
      <c r="N1636" s="9" t="s">
        <v>409</v>
      </c>
      <c r="O1636" s="10">
        <v>2008</v>
      </c>
    </row>
    <row r="1637" spans="2:15" s="9" customFormat="1" ht="12.75">
      <c r="B1637" s="16"/>
      <c r="C1637" s="9" t="s">
        <v>447</v>
      </c>
      <c r="D1637" s="9" t="s">
        <v>441</v>
      </c>
      <c r="E1637" s="9">
        <v>4864492</v>
      </c>
      <c r="F1637" s="12">
        <v>11205</v>
      </c>
      <c r="G1637" s="9">
        <v>4869720</v>
      </c>
      <c r="H1637" s="67">
        <v>4858515</v>
      </c>
      <c r="I1637" s="276" t="s">
        <v>447</v>
      </c>
      <c r="J1637" s="278">
        <f>515-71</f>
        <v>444</v>
      </c>
      <c r="K1637" s="9">
        <v>0</v>
      </c>
      <c r="L1637" s="9">
        <v>12492</v>
      </c>
      <c r="M1637" s="10">
        <v>1985</v>
      </c>
      <c r="N1637" s="9" t="s">
        <v>409</v>
      </c>
      <c r="O1637" s="10">
        <v>2008</v>
      </c>
    </row>
    <row r="1638" spans="2:15" s="9" customFormat="1" ht="12.75">
      <c r="B1638" s="9" t="s">
        <v>166</v>
      </c>
      <c r="D1638" s="9" t="s">
        <v>441</v>
      </c>
      <c r="E1638" s="9">
        <v>4864493</v>
      </c>
      <c r="F1638" s="12"/>
      <c r="H1638" s="67"/>
      <c r="I1638" s="67"/>
      <c r="J1638" s="84"/>
      <c r="M1638" s="10"/>
      <c r="O1638" s="10" t="s">
        <v>448</v>
      </c>
    </row>
    <row r="1639" spans="2:15" s="9" customFormat="1" ht="12.75">
      <c r="B1639" s="16"/>
      <c r="E1639" s="9">
        <v>4864495</v>
      </c>
      <c r="F1639" s="12"/>
      <c r="G1639" s="9">
        <v>4869773</v>
      </c>
      <c r="J1639" s="84"/>
      <c r="K1639" s="9">
        <v>0</v>
      </c>
      <c r="L1639" s="9">
        <v>12495</v>
      </c>
      <c r="M1639" s="10"/>
      <c r="O1639" s="10"/>
    </row>
    <row r="1640" spans="2:15" s="9" customFormat="1" ht="12.75">
      <c r="B1640" s="16"/>
      <c r="E1640" s="11">
        <v>4864501</v>
      </c>
      <c r="F1640" s="12"/>
      <c r="G1640" s="9">
        <v>0</v>
      </c>
      <c r="J1640" s="84"/>
      <c r="K1640" s="9">
        <v>0</v>
      </c>
      <c r="L1640" s="9">
        <v>12501</v>
      </c>
      <c r="M1640" s="10">
        <v>1985</v>
      </c>
      <c r="N1640" s="9" t="s">
        <v>409</v>
      </c>
      <c r="O1640" s="10">
        <v>2007</v>
      </c>
    </row>
    <row r="1641" spans="2:15" s="9" customFormat="1" ht="12.75">
      <c r="B1641" s="16"/>
      <c r="D1641" s="198" t="s">
        <v>441</v>
      </c>
      <c r="E1641" s="11">
        <v>4864502</v>
      </c>
      <c r="F1641" s="12"/>
      <c r="J1641" s="84"/>
      <c r="L1641" s="198">
        <v>12502</v>
      </c>
      <c r="M1641" s="10">
        <v>1985</v>
      </c>
      <c r="N1641" s="9" t="s">
        <v>409</v>
      </c>
      <c r="O1641" s="10">
        <v>2016</v>
      </c>
    </row>
    <row r="1642" spans="2:15" s="9" customFormat="1" ht="12.75">
      <c r="B1642" s="16"/>
      <c r="E1642" s="11">
        <v>4864508</v>
      </c>
      <c r="F1642" s="12"/>
      <c r="J1642" s="84"/>
      <c r="M1642" s="10"/>
      <c r="O1642" s="10">
        <v>2009</v>
      </c>
    </row>
    <row r="1643" spans="2:15" s="9" customFormat="1" ht="12.75">
      <c r="B1643" s="16"/>
      <c r="E1643" s="11">
        <v>4864509</v>
      </c>
      <c r="F1643" s="12"/>
      <c r="G1643" s="9">
        <v>0</v>
      </c>
      <c r="H1643" s="9">
        <v>0</v>
      </c>
      <c r="J1643" s="84"/>
      <c r="K1643" s="9">
        <v>0</v>
      </c>
      <c r="L1643" s="9">
        <v>12509</v>
      </c>
      <c r="M1643" s="10">
        <v>1985</v>
      </c>
      <c r="N1643" s="9" t="s">
        <v>405</v>
      </c>
      <c r="O1643" s="10">
        <v>2004</v>
      </c>
    </row>
    <row r="1644" spans="2:15" s="9" customFormat="1" ht="12.75">
      <c r="B1644" s="16"/>
      <c r="D1644" s="9" t="s">
        <v>441</v>
      </c>
      <c r="E1644" s="11">
        <v>4864510</v>
      </c>
      <c r="F1644" s="12"/>
      <c r="G1644" s="9">
        <v>0</v>
      </c>
      <c r="H1644" s="9">
        <v>0</v>
      </c>
      <c r="J1644" s="84"/>
      <c r="K1644" s="9">
        <v>0</v>
      </c>
      <c r="L1644" s="9">
        <v>12510</v>
      </c>
      <c r="M1644" s="10">
        <v>1985</v>
      </c>
      <c r="N1644" s="9" t="s">
        <v>409</v>
      </c>
      <c r="O1644" s="10">
        <v>2008</v>
      </c>
    </row>
    <row r="1645" spans="2:15" s="9" customFormat="1" ht="12.75">
      <c r="B1645" s="16"/>
      <c r="E1645" s="13" t="s">
        <v>449</v>
      </c>
      <c r="F1645" s="12"/>
      <c r="J1645" s="84"/>
      <c r="L1645" s="9">
        <v>12516</v>
      </c>
      <c r="M1645" s="10">
        <v>1985</v>
      </c>
      <c r="N1645" s="9" t="s">
        <v>409</v>
      </c>
      <c r="O1645" s="10"/>
    </row>
    <row r="1646" spans="2:15" s="9" customFormat="1" ht="12.75">
      <c r="B1646" s="9" t="s">
        <v>450</v>
      </c>
      <c r="C1646" s="9" t="s">
        <v>451</v>
      </c>
      <c r="D1646" s="9" t="s">
        <v>441</v>
      </c>
      <c r="E1646" s="10">
        <v>4864517</v>
      </c>
      <c r="F1646" s="12">
        <v>383</v>
      </c>
      <c r="G1646" s="10">
        <v>4869900</v>
      </c>
      <c r="H1646" s="223">
        <v>4858606</v>
      </c>
      <c r="J1646" s="84">
        <f>G1646-H1646</f>
        <v>11294</v>
      </c>
      <c r="K1646" s="198">
        <v>0</v>
      </c>
      <c r="L1646" s="9">
        <v>12517</v>
      </c>
      <c r="M1646" s="10">
        <v>1986</v>
      </c>
      <c r="N1646" s="9" t="s">
        <v>409</v>
      </c>
      <c r="O1646" s="10">
        <v>2010</v>
      </c>
    </row>
    <row r="1647" spans="2:15" s="9" customFormat="1" ht="12.75">
      <c r="B1647" s="9" t="s">
        <v>450</v>
      </c>
      <c r="C1647" s="9" t="s">
        <v>451</v>
      </c>
      <c r="D1647" s="9" t="s">
        <v>441</v>
      </c>
      <c r="E1647" s="250">
        <v>4864526</v>
      </c>
      <c r="F1647" s="12">
        <v>383</v>
      </c>
      <c r="G1647" s="251">
        <v>4869909</v>
      </c>
      <c r="H1647" s="223">
        <v>4858614</v>
      </c>
      <c r="J1647" s="84">
        <f>G1647-H1647</f>
        <v>11295</v>
      </c>
      <c r="K1647" s="198"/>
      <c r="L1647" s="198">
        <v>12526</v>
      </c>
      <c r="M1647" s="13" t="s">
        <v>452</v>
      </c>
      <c r="N1647" s="198" t="s">
        <v>409</v>
      </c>
      <c r="O1647" s="10">
        <v>2013</v>
      </c>
    </row>
    <row r="1648" spans="2:15" s="9" customFormat="1" ht="12.75">
      <c r="B1648" s="16"/>
      <c r="E1648" s="10">
        <v>4864527</v>
      </c>
      <c r="F1648" s="12">
        <f>910-527</f>
        <v>383</v>
      </c>
      <c r="G1648" s="10">
        <v>4869910</v>
      </c>
      <c r="H1648" s="267">
        <v>4858615</v>
      </c>
      <c r="J1648" s="84">
        <f>G1648-H1648</f>
        <v>11295</v>
      </c>
      <c r="K1648" s="9">
        <v>0</v>
      </c>
      <c r="L1648" s="9">
        <v>12527</v>
      </c>
      <c r="M1648" s="10"/>
      <c r="O1648" s="10"/>
    </row>
    <row r="1649" spans="2:15" s="9" customFormat="1" ht="12.75">
      <c r="B1649" s="9" t="s">
        <v>450</v>
      </c>
      <c r="D1649" s="9" t="s">
        <v>441</v>
      </c>
      <c r="E1649" s="10">
        <v>4864529</v>
      </c>
      <c r="F1649" s="12">
        <v>383</v>
      </c>
      <c r="G1649" s="10">
        <v>4869912</v>
      </c>
      <c r="H1649" s="62">
        <v>4858617</v>
      </c>
      <c r="I1649" s="62"/>
      <c r="J1649" s="84">
        <f>G1649-H1649</f>
        <v>11295</v>
      </c>
      <c r="K1649" s="9">
        <v>0</v>
      </c>
      <c r="L1649" s="9">
        <v>12529</v>
      </c>
      <c r="M1649" s="10">
        <v>1986</v>
      </c>
      <c r="N1649" s="9" t="s">
        <v>409</v>
      </c>
      <c r="O1649" s="10">
        <v>2008</v>
      </c>
    </row>
    <row r="1650" spans="5:15" s="9" customFormat="1" ht="12.75">
      <c r="E1650" s="10">
        <v>4864532</v>
      </c>
      <c r="F1650" s="12">
        <v>383</v>
      </c>
      <c r="G1650" s="33">
        <v>4869915</v>
      </c>
      <c r="H1650" s="62"/>
      <c r="I1650" s="62"/>
      <c r="J1650" s="84"/>
      <c r="M1650" s="10"/>
      <c r="O1650" s="10">
        <v>1993</v>
      </c>
    </row>
    <row r="1651" spans="2:15" s="9" customFormat="1" ht="12.75">
      <c r="B1651" s="16"/>
      <c r="E1651" s="10">
        <v>4864533</v>
      </c>
      <c r="F1651" s="12">
        <v>383</v>
      </c>
      <c r="G1651" s="10">
        <v>4869916</v>
      </c>
      <c r="H1651" s="267">
        <v>4858620</v>
      </c>
      <c r="J1651" s="84">
        <f aca="true" t="shared" si="52" ref="J1651:J1656">G1651-H1651</f>
        <v>11296</v>
      </c>
      <c r="K1651" s="9">
        <v>0</v>
      </c>
      <c r="L1651" s="9">
        <v>12533</v>
      </c>
      <c r="M1651" s="10"/>
      <c r="O1651" s="10"/>
    </row>
    <row r="1652" spans="2:15" s="9" customFormat="1" ht="12.75">
      <c r="B1652" s="16"/>
      <c r="E1652" s="10">
        <v>4864536</v>
      </c>
      <c r="F1652" s="200">
        <v>383</v>
      </c>
      <c r="G1652" s="10">
        <v>4869919</v>
      </c>
      <c r="H1652" s="270">
        <v>4858623</v>
      </c>
      <c r="J1652" s="252">
        <f t="shared" si="52"/>
        <v>11296</v>
      </c>
      <c r="K1652" s="252">
        <v>0</v>
      </c>
      <c r="L1652" s="198">
        <v>12536</v>
      </c>
      <c r="M1652" s="13" t="s">
        <v>452</v>
      </c>
      <c r="N1652" s="9" t="s">
        <v>409</v>
      </c>
      <c r="O1652" s="10">
        <v>2020</v>
      </c>
    </row>
    <row r="1653" spans="2:15" s="9" customFormat="1" ht="12.75">
      <c r="B1653" s="16"/>
      <c r="E1653" s="10">
        <v>4864537</v>
      </c>
      <c r="F1653" s="12">
        <v>383</v>
      </c>
      <c r="G1653" s="10">
        <v>4869920</v>
      </c>
      <c r="H1653" s="82">
        <v>4858624</v>
      </c>
      <c r="I1653" s="82"/>
      <c r="J1653" s="84">
        <f t="shared" si="52"/>
        <v>11296</v>
      </c>
      <c r="K1653" s="9">
        <v>0</v>
      </c>
      <c r="L1653" s="9">
        <v>12537</v>
      </c>
      <c r="M1653" s="10">
        <v>1986</v>
      </c>
      <c r="N1653" s="9" t="s">
        <v>405</v>
      </c>
      <c r="O1653" s="10" t="s">
        <v>51</v>
      </c>
    </row>
    <row r="1654" spans="2:15" s="9" customFormat="1" ht="12.75">
      <c r="B1654" s="9" t="s">
        <v>450</v>
      </c>
      <c r="C1654" s="9" t="s">
        <v>453</v>
      </c>
      <c r="E1654" s="10">
        <v>4864538</v>
      </c>
      <c r="F1654" s="12">
        <f>921-538</f>
        <v>383</v>
      </c>
      <c r="G1654" s="10">
        <v>4869921</v>
      </c>
      <c r="H1654" s="11">
        <v>4858625</v>
      </c>
      <c r="I1654" s="11"/>
      <c r="J1654" s="84">
        <f t="shared" si="52"/>
        <v>11296</v>
      </c>
      <c r="K1654" s="9">
        <v>0</v>
      </c>
      <c r="L1654" s="9">
        <v>12538</v>
      </c>
      <c r="M1654" s="13" t="s">
        <v>452</v>
      </c>
      <c r="N1654" s="9" t="s">
        <v>409</v>
      </c>
      <c r="O1654" s="10">
        <v>2008</v>
      </c>
    </row>
    <row r="1655" spans="2:15" s="9" customFormat="1" ht="12.75">
      <c r="B1655" s="9" t="s">
        <v>450</v>
      </c>
      <c r="C1655" s="9" t="s">
        <v>454</v>
      </c>
      <c r="D1655" s="9" t="s">
        <v>441</v>
      </c>
      <c r="E1655" s="251">
        <v>4864541</v>
      </c>
      <c r="F1655" s="200">
        <v>383</v>
      </c>
      <c r="G1655" s="251">
        <v>4869924</v>
      </c>
      <c r="H1655" s="11">
        <v>4858628</v>
      </c>
      <c r="I1655" s="11"/>
      <c r="J1655" s="252">
        <f t="shared" si="52"/>
        <v>11296</v>
      </c>
      <c r="L1655" s="198">
        <v>12541</v>
      </c>
      <c r="M1655" s="13">
        <v>1985</v>
      </c>
      <c r="N1655" s="198" t="s">
        <v>405</v>
      </c>
      <c r="O1655" s="10">
        <v>2010</v>
      </c>
    </row>
    <row r="1656" spans="2:15" s="9" customFormat="1" ht="12.75">
      <c r="B1656" s="9" t="s">
        <v>450</v>
      </c>
      <c r="D1656" s="9" t="s">
        <v>441</v>
      </c>
      <c r="E1656" s="253">
        <v>4864542</v>
      </c>
      <c r="F1656" s="200">
        <v>383</v>
      </c>
      <c r="G1656" s="253">
        <v>4869925</v>
      </c>
      <c r="H1656" s="11">
        <v>4858629</v>
      </c>
      <c r="I1656" s="11"/>
      <c r="J1656" s="252">
        <f t="shared" si="52"/>
        <v>11296</v>
      </c>
      <c r="L1656" s="198">
        <v>12542</v>
      </c>
      <c r="M1656" s="13" t="s">
        <v>455</v>
      </c>
      <c r="N1656" s="198" t="s">
        <v>405</v>
      </c>
      <c r="O1656" s="10">
        <v>2014</v>
      </c>
    </row>
    <row r="1657" spans="5:15" s="9" customFormat="1" ht="12.75">
      <c r="E1657" s="10">
        <v>4864544</v>
      </c>
      <c r="F1657" s="12">
        <v>383</v>
      </c>
      <c r="G1657" s="10">
        <v>4869927</v>
      </c>
      <c r="H1657" s="11">
        <v>4858631</v>
      </c>
      <c r="I1657" s="11"/>
      <c r="J1657" s="84">
        <v>11296</v>
      </c>
      <c r="K1657" s="9">
        <v>0</v>
      </c>
      <c r="L1657" s="9">
        <v>12544</v>
      </c>
      <c r="M1657" s="13">
        <v>1986</v>
      </c>
      <c r="N1657" s="9" t="s">
        <v>405</v>
      </c>
      <c r="O1657" s="10" t="s">
        <v>30</v>
      </c>
    </row>
    <row r="1658" spans="2:15" s="9" customFormat="1" ht="12.75">
      <c r="B1658" s="16"/>
      <c r="C1658" s="9" t="s">
        <v>456</v>
      </c>
      <c r="E1658" s="10">
        <v>4864548</v>
      </c>
      <c r="F1658" s="12">
        <v>383</v>
      </c>
      <c r="G1658" s="10">
        <v>4869931</v>
      </c>
      <c r="H1658" s="82">
        <v>4858635</v>
      </c>
      <c r="I1658" s="82"/>
      <c r="J1658" s="84">
        <f>G1658-H1658</f>
        <v>11296</v>
      </c>
      <c r="K1658" s="9">
        <v>0</v>
      </c>
      <c r="L1658" s="9">
        <v>12548</v>
      </c>
      <c r="M1658" s="10">
        <v>1986</v>
      </c>
      <c r="N1658" s="9" t="s">
        <v>405</v>
      </c>
      <c r="O1658" s="10" t="s">
        <v>48</v>
      </c>
    </row>
    <row r="1659" spans="2:15" s="9" customFormat="1" ht="12.75">
      <c r="B1659" s="9" t="s">
        <v>450</v>
      </c>
      <c r="C1659" s="198" t="s">
        <v>454</v>
      </c>
      <c r="E1659" s="10">
        <v>4864549</v>
      </c>
      <c r="F1659" s="200">
        <v>383</v>
      </c>
      <c r="G1659" s="10">
        <v>4869932</v>
      </c>
      <c r="H1659" s="82">
        <v>4858636</v>
      </c>
      <c r="I1659" s="82"/>
      <c r="J1659" s="84">
        <f>G1659-H1659</f>
        <v>11296</v>
      </c>
      <c r="K1659" s="198">
        <v>0</v>
      </c>
      <c r="L1659" s="198">
        <v>12549</v>
      </c>
      <c r="M1659" s="10">
        <v>1986</v>
      </c>
      <c r="N1659" s="198" t="s">
        <v>409</v>
      </c>
      <c r="O1659" s="10">
        <v>2012</v>
      </c>
    </row>
    <row r="1660" spans="2:15" s="9" customFormat="1" ht="12.75">
      <c r="B1660" s="198" t="s">
        <v>450</v>
      </c>
      <c r="C1660" s="198"/>
      <c r="D1660" s="9" t="s">
        <v>441</v>
      </c>
      <c r="E1660" s="10">
        <v>4864550</v>
      </c>
      <c r="F1660" s="200">
        <v>383</v>
      </c>
      <c r="G1660" s="10">
        <v>4869933</v>
      </c>
      <c r="H1660" s="82">
        <v>4858637</v>
      </c>
      <c r="I1660" s="82"/>
      <c r="J1660" s="252">
        <f>G1660-H1660</f>
        <v>11296</v>
      </c>
      <c r="K1660" s="198"/>
      <c r="L1660" s="198">
        <v>12550</v>
      </c>
      <c r="M1660" s="10">
        <v>1986</v>
      </c>
      <c r="N1660" s="198" t="s">
        <v>409</v>
      </c>
      <c r="O1660" s="10">
        <v>2014</v>
      </c>
    </row>
    <row r="1661" spans="2:15" s="9" customFormat="1" ht="12.75">
      <c r="B1661" s="198" t="s">
        <v>450</v>
      </c>
      <c r="D1661" s="9" t="s">
        <v>441</v>
      </c>
      <c r="E1661" s="10">
        <v>4864555</v>
      </c>
      <c r="F1661" s="12">
        <v>383</v>
      </c>
      <c r="G1661" s="10">
        <v>4869938</v>
      </c>
      <c r="H1661" s="267">
        <v>4858642</v>
      </c>
      <c r="J1661" s="84">
        <f>G1661-H1661</f>
        <v>11296</v>
      </c>
      <c r="K1661" s="9">
        <v>0</v>
      </c>
      <c r="L1661" s="9">
        <v>12555</v>
      </c>
      <c r="M1661" s="10">
        <v>1986</v>
      </c>
      <c r="N1661" s="198" t="s">
        <v>409</v>
      </c>
      <c r="O1661" s="10">
        <v>2020</v>
      </c>
    </row>
    <row r="1662" spans="2:15" s="9" customFormat="1" ht="12.75">
      <c r="B1662" s="16"/>
      <c r="E1662" s="10">
        <v>4864556</v>
      </c>
      <c r="F1662" s="12">
        <v>383</v>
      </c>
      <c r="G1662" s="10">
        <v>4869939</v>
      </c>
      <c r="H1662" s="82">
        <v>4858643</v>
      </c>
      <c r="I1662" s="82"/>
      <c r="J1662" s="84">
        <v>11296</v>
      </c>
      <c r="K1662" s="9">
        <v>0</v>
      </c>
      <c r="L1662" s="9">
        <v>12556</v>
      </c>
      <c r="M1662" s="10">
        <v>1986</v>
      </c>
      <c r="N1662" s="9" t="s">
        <v>405</v>
      </c>
      <c r="O1662" s="10" t="s">
        <v>51</v>
      </c>
    </row>
    <row r="1663" spans="2:15" s="9" customFormat="1" ht="12.75">
      <c r="B1663" s="9" t="s">
        <v>450</v>
      </c>
      <c r="C1663" s="9" t="s">
        <v>457</v>
      </c>
      <c r="D1663" s="48">
        <v>125574</v>
      </c>
      <c r="E1663" s="9">
        <v>4864557</v>
      </c>
      <c r="F1663" s="12">
        <f>940-557</f>
        <v>383</v>
      </c>
      <c r="G1663" s="9">
        <v>4869940</v>
      </c>
      <c r="H1663" s="11">
        <v>4858644</v>
      </c>
      <c r="I1663" s="11"/>
      <c r="J1663" s="84">
        <f>G1663-H1663</f>
        <v>11296</v>
      </c>
      <c r="K1663" s="9">
        <v>0</v>
      </c>
      <c r="L1663" s="9">
        <v>12557</v>
      </c>
      <c r="M1663" s="10">
        <v>1986</v>
      </c>
      <c r="N1663" s="9" t="s">
        <v>409</v>
      </c>
      <c r="O1663" s="10">
        <v>2007</v>
      </c>
    </row>
    <row r="1664" spans="5:15" s="9" customFormat="1" ht="12.75">
      <c r="E1664" s="9">
        <v>4864559</v>
      </c>
      <c r="F1664" s="12">
        <v>383</v>
      </c>
      <c r="G1664" s="9">
        <v>4869942</v>
      </c>
      <c r="H1664" s="267">
        <v>4858646</v>
      </c>
      <c r="J1664" s="84">
        <f>G1664-H1664</f>
        <v>11296</v>
      </c>
      <c r="K1664" s="9">
        <v>0</v>
      </c>
      <c r="L1664" s="9">
        <v>12559</v>
      </c>
      <c r="M1664" s="10"/>
      <c r="O1664" s="10"/>
    </row>
    <row r="1665" spans="5:15" s="9" customFormat="1" ht="12.75">
      <c r="E1665" s="9">
        <v>4864561</v>
      </c>
      <c r="F1665" s="12">
        <v>383</v>
      </c>
      <c r="G1665" s="66">
        <v>4869944</v>
      </c>
      <c r="J1665" s="84"/>
      <c r="M1665" s="10"/>
      <c r="O1665" s="10" t="s">
        <v>164</v>
      </c>
    </row>
    <row r="1666" spans="5:15" s="9" customFormat="1" ht="12.75">
      <c r="E1666" s="9">
        <v>4864564</v>
      </c>
      <c r="F1666" s="12">
        <v>383</v>
      </c>
      <c r="G1666" s="66">
        <v>4869947</v>
      </c>
      <c r="J1666" s="84"/>
      <c r="M1666" s="10"/>
      <c r="O1666" s="10">
        <v>1993</v>
      </c>
    </row>
    <row r="1667" spans="5:15" s="9" customFormat="1" ht="12.75">
      <c r="E1667" s="9">
        <v>4864568</v>
      </c>
      <c r="F1667" s="12">
        <v>383</v>
      </c>
      <c r="G1667" s="56">
        <v>4869951</v>
      </c>
      <c r="H1667" s="82">
        <v>4858655</v>
      </c>
      <c r="I1667" s="82"/>
      <c r="J1667" s="84">
        <v>11296</v>
      </c>
      <c r="K1667" s="9">
        <v>0</v>
      </c>
      <c r="L1667" s="9">
        <v>12568</v>
      </c>
      <c r="M1667" s="10">
        <v>1987</v>
      </c>
      <c r="N1667" s="9" t="s">
        <v>405</v>
      </c>
      <c r="O1667" s="10" t="s">
        <v>51</v>
      </c>
    </row>
    <row r="1668" spans="2:15" s="9" customFormat="1" ht="12.75">
      <c r="B1668" s="9" t="s">
        <v>450</v>
      </c>
      <c r="D1668" s="9" t="s">
        <v>441</v>
      </c>
      <c r="E1668" s="9">
        <v>4864569</v>
      </c>
      <c r="F1668" s="12">
        <v>383</v>
      </c>
      <c r="G1668" s="9">
        <v>4869952</v>
      </c>
      <c r="H1668" s="91">
        <v>4858656</v>
      </c>
      <c r="I1668" s="91"/>
      <c r="J1668" s="84">
        <f>G1668-H1668</f>
        <v>11296</v>
      </c>
      <c r="K1668" s="9">
        <v>0</v>
      </c>
      <c r="L1668" s="9">
        <v>12569</v>
      </c>
      <c r="M1668" s="10">
        <v>1987</v>
      </c>
      <c r="N1668" s="9" t="s">
        <v>409</v>
      </c>
      <c r="O1668" s="10">
        <v>2008</v>
      </c>
    </row>
    <row r="1669" spans="5:15" s="9" customFormat="1" ht="12.75">
      <c r="E1669" s="9">
        <v>4864570</v>
      </c>
      <c r="F1669" s="12">
        <v>383</v>
      </c>
      <c r="G1669" s="66">
        <v>4869953</v>
      </c>
      <c r="H1669" s="91"/>
      <c r="I1669" s="91"/>
      <c r="J1669" s="84"/>
      <c r="M1669" s="10"/>
      <c r="O1669" s="10" t="s">
        <v>164</v>
      </c>
    </row>
    <row r="1670" spans="5:15" s="9" customFormat="1" ht="12.75">
      <c r="E1670" s="9">
        <v>4864572</v>
      </c>
      <c r="F1670" s="12">
        <v>383</v>
      </c>
      <c r="G1670" s="66">
        <v>4869955</v>
      </c>
      <c r="H1670" s="91"/>
      <c r="I1670" s="91"/>
      <c r="J1670" s="84"/>
      <c r="M1670" s="10"/>
      <c r="O1670" s="10" t="s">
        <v>164</v>
      </c>
    </row>
    <row r="1671" spans="5:15" s="9" customFormat="1" ht="12.75">
      <c r="E1671" s="9">
        <v>4864575</v>
      </c>
      <c r="F1671" s="12">
        <v>383</v>
      </c>
      <c r="G1671" s="56">
        <v>4869958</v>
      </c>
      <c r="H1671" s="91">
        <v>4858662</v>
      </c>
      <c r="I1671" s="91"/>
      <c r="J1671" s="84">
        <f aca="true" t="shared" si="53" ref="J1671:J1679">G1671-H1671</f>
        <v>11296</v>
      </c>
      <c r="K1671" s="9">
        <v>0</v>
      </c>
      <c r="L1671" s="9">
        <v>12575</v>
      </c>
      <c r="M1671" s="10">
        <v>1987</v>
      </c>
      <c r="N1671" s="9" t="s">
        <v>405</v>
      </c>
      <c r="O1671" s="10" t="s">
        <v>48</v>
      </c>
    </row>
    <row r="1672" spans="5:15" s="9" customFormat="1" ht="12.75">
      <c r="E1672" s="9">
        <v>4864581</v>
      </c>
      <c r="F1672" s="12">
        <v>383</v>
      </c>
      <c r="G1672" s="9">
        <v>4869964</v>
      </c>
      <c r="H1672" s="267">
        <v>4858668</v>
      </c>
      <c r="J1672" s="84">
        <f t="shared" si="53"/>
        <v>11296</v>
      </c>
      <c r="K1672" s="9">
        <v>0</v>
      </c>
      <c r="L1672" s="9">
        <v>12581</v>
      </c>
      <c r="M1672" s="10"/>
      <c r="O1672" s="10"/>
    </row>
    <row r="1673" spans="2:15" s="9" customFormat="1" ht="12.75">
      <c r="B1673" s="9" t="s">
        <v>450</v>
      </c>
      <c r="C1673" s="9" t="s">
        <v>451</v>
      </c>
      <c r="D1673" s="9" t="s">
        <v>441</v>
      </c>
      <c r="E1673" s="9">
        <v>4864583</v>
      </c>
      <c r="F1673" s="12">
        <v>383</v>
      </c>
      <c r="G1673" s="9">
        <v>4869966</v>
      </c>
      <c r="H1673" s="218">
        <v>4858670</v>
      </c>
      <c r="J1673" s="84">
        <f t="shared" si="53"/>
        <v>11296</v>
      </c>
      <c r="K1673" s="9">
        <v>0</v>
      </c>
      <c r="L1673" s="9">
        <v>12583</v>
      </c>
      <c r="M1673" s="10">
        <v>1987</v>
      </c>
      <c r="N1673" s="9" t="s">
        <v>405</v>
      </c>
      <c r="O1673" s="10">
        <v>2010</v>
      </c>
    </row>
    <row r="1674" spans="2:15" s="9" customFormat="1" ht="12.75">
      <c r="B1674" s="16"/>
      <c r="E1674" s="9">
        <v>4864586</v>
      </c>
      <c r="F1674" s="12">
        <f>969-586</f>
        <v>383</v>
      </c>
      <c r="G1674" s="9">
        <v>4869969</v>
      </c>
      <c r="H1674" s="11">
        <v>4858673</v>
      </c>
      <c r="I1674" s="11"/>
      <c r="J1674" s="84">
        <f t="shared" si="53"/>
        <v>11296</v>
      </c>
      <c r="M1674" s="10"/>
      <c r="O1674" s="10">
        <v>2006</v>
      </c>
    </row>
    <row r="1675" spans="2:15" s="9" customFormat="1" ht="12.75">
      <c r="B1675" s="16"/>
      <c r="E1675" s="9">
        <v>4864587</v>
      </c>
      <c r="F1675" s="12">
        <v>383</v>
      </c>
      <c r="G1675" s="9">
        <v>4869970</v>
      </c>
      <c r="H1675" s="267">
        <v>4858674</v>
      </c>
      <c r="J1675" s="84">
        <f t="shared" si="53"/>
        <v>11296</v>
      </c>
      <c r="K1675" s="9">
        <v>0</v>
      </c>
      <c r="L1675" s="9">
        <v>12587</v>
      </c>
      <c r="M1675" s="10"/>
      <c r="O1675" s="10"/>
    </row>
    <row r="1676" spans="2:15" s="9" customFormat="1" ht="12.75">
      <c r="B1676" s="16"/>
      <c r="E1676" s="9">
        <v>4864588</v>
      </c>
      <c r="F1676" s="12">
        <f>971-588</f>
        <v>383</v>
      </c>
      <c r="G1676" s="9">
        <v>4869971</v>
      </c>
      <c r="H1676" s="267">
        <v>4858675</v>
      </c>
      <c r="I1676" s="11"/>
      <c r="J1676" s="84">
        <f t="shared" si="53"/>
        <v>11296</v>
      </c>
      <c r="K1676" s="9">
        <v>0</v>
      </c>
      <c r="L1676" s="9">
        <v>12588</v>
      </c>
      <c r="M1676" s="10">
        <v>1987</v>
      </c>
      <c r="N1676" s="9" t="s">
        <v>409</v>
      </c>
      <c r="O1676" s="10">
        <v>2007</v>
      </c>
    </row>
    <row r="1677" spans="2:15" s="9" customFormat="1" ht="12.75">
      <c r="B1677" s="9" t="s">
        <v>450</v>
      </c>
      <c r="D1677" s="9" t="s">
        <v>441</v>
      </c>
      <c r="E1677" s="9">
        <v>4864594</v>
      </c>
      <c r="F1677" s="12">
        <f>977-594</f>
        <v>383</v>
      </c>
      <c r="G1677" s="9">
        <v>4869977</v>
      </c>
      <c r="H1677" s="267">
        <v>4858681</v>
      </c>
      <c r="I1677" s="11"/>
      <c r="J1677" s="84">
        <f t="shared" si="53"/>
        <v>11296</v>
      </c>
      <c r="K1677" s="9">
        <v>0</v>
      </c>
      <c r="L1677" s="9">
        <v>12594</v>
      </c>
      <c r="M1677" s="10">
        <v>1987</v>
      </c>
      <c r="N1677" s="9" t="s">
        <v>405</v>
      </c>
      <c r="O1677" s="10">
        <v>2005</v>
      </c>
    </row>
    <row r="1678" spans="2:15" s="9" customFormat="1" ht="12.75">
      <c r="B1678" s="16"/>
      <c r="E1678" s="9">
        <v>4864595</v>
      </c>
      <c r="F1678" s="12">
        <v>383</v>
      </c>
      <c r="G1678" s="9">
        <v>4869978</v>
      </c>
      <c r="H1678" s="267">
        <v>4858682</v>
      </c>
      <c r="J1678" s="84">
        <f t="shared" si="53"/>
        <v>11296</v>
      </c>
      <c r="K1678" s="9">
        <v>0</v>
      </c>
      <c r="L1678" s="9">
        <v>12595</v>
      </c>
      <c r="M1678" s="10"/>
      <c r="O1678" s="10"/>
    </row>
    <row r="1679" spans="2:15" s="9" customFormat="1" ht="12.75">
      <c r="B1679" s="16"/>
      <c r="E1679" s="9">
        <v>4864597</v>
      </c>
      <c r="F1679" s="12">
        <v>383</v>
      </c>
      <c r="G1679" s="9">
        <v>4869980</v>
      </c>
      <c r="H1679" s="267">
        <v>4858684</v>
      </c>
      <c r="J1679" s="84">
        <f t="shared" si="53"/>
        <v>11296</v>
      </c>
      <c r="K1679" s="9">
        <v>0</v>
      </c>
      <c r="L1679" s="9">
        <v>12597</v>
      </c>
      <c r="M1679" s="10"/>
      <c r="O1679" s="10"/>
    </row>
    <row r="1680" spans="2:15" s="9" customFormat="1" ht="12.75">
      <c r="B1680" s="16"/>
      <c r="E1680" s="9">
        <v>4864599</v>
      </c>
      <c r="F1680" s="12">
        <v>383</v>
      </c>
      <c r="G1680" s="53">
        <v>4869982</v>
      </c>
      <c r="H1680" s="267"/>
      <c r="J1680" s="84"/>
      <c r="M1680" s="10"/>
      <c r="O1680" s="10">
        <v>1993</v>
      </c>
    </row>
    <row r="1681" spans="2:15" s="9" customFormat="1" ht="12.75">
      <c r="B1681" s="16"/>
      <c r="E1681" s="9">
        <v>4864602</v>
      </c>
      <c r="F1681" s="12">
        <f>985-602</f>
        <v>383</v>
      </c>
      <c r="G1681" s="9">
        <v>4869985</v>
      </c>
      <c r="H1681" s="267">
        <v>4858689</v>
      </c>
      <c r="I1681" s="11"/>
      <c r="J1681" s="84">
        <f>G1681-H1681</f>
        <v>11296</v>
      </c>
      <c r="M1681" s="10">
        <v>1987</v>
      </c>
      <c r="N1681" s="9" t="s">
        <v>405</v>
      </c>
      <c r="O1681" s="10">
        <v>2005</v>
      </c>
    </row>
    <row r="1682" spans="2:15" s="9" customFormat="1" ht="12.75">
      <c r="B1682" s="16"/>
      <c r="E1682" s="9">
        <v>4864606</v>
      </c>
      <c r="F1682" s="12">
        <v>383</v>
      </c>
      <c r="G1682" s="9">
        <v>4869989</v>
      </c>
      <c r="H1682" s="267">
        <v>4858692</v>
      </c>
      <c r="I1682" s="11"/>
      <c r="J1682" s="84">
        <f>G1682-H1682</f>
        <v>11297</v>
      </c>
      <c r="K1682" s="9">
        <v>0</v>
      </c>
      <c r="L1682" s="9">
        <v>12606</v>
      </c>
      <c r="M1682" s="10">
        <v>1987</v>
      </c>
      <c r="N1682" s="9" t="s">
        <v>405</v>
      </c>
      <c r="O1682" s="10" t="s">
        <v>48</v>
      </c>
    </row>
    <row r="1683" spans="2:15" s="9" customFormat="1" ht="12.75">
      <c r="B1683" s="16"/>
      <c r="E1683" s="9">
        <v>4864610</v>
      </c>
      <c r="F1683" s="12">
        <v>383</v>
      </c>
      <c r="G1683" s="9">
        <v>4869993</v>
      </c>
      <c r="H1683" s="267">
        <v>4858696</v>
      </c>
      <c r="J1683" s="84">
        <f>G1683-H1683</f>
        <v>11297</v>
      </c>
      <c r="K1683" s="9">
        <v>0</v>
      </c>
      <c r="L1683" s="9">
        <v>12610</v>
      </c>
      <c r="M1683" s="10"/>
      <c r="O1683" s="10"/>
    </row>
    <row r="1684" spans="2:15" s="9" customFormat="1" ht="12.75">
      <c r="B1684" s="16"/>
      <c r="E1684" s="9">
        <v>4864613</v>
      </c>
      <c r="F1684" s="12">
        <v>383</v>
      </c>
      <c r="G1684" s="66">
        <v>4869996</v>
      </c>
      <c r="J1684" s="84"/>
      <c r="M1684" s="10"/>
      <c r="O1684" s="10" t="s">
        <v>164</v>
      </c>
    </row>
    <row r="1685" spans="2:15" s="9" customFormat="1" ht="12.75">
      <c r="B1685" s="16"/>
      <c r="E1685" s="9">
        <v>4864614</v>
      </c>
      <c r="F1685" s="12">
        <v>383</v>
      </c>
      <c r="G1685" s="56">
        <v>4869997</v>
      </c>
      <c r="H1685" s="82">
        <v>4858700</v>
      </c>
      <c r="I1685" s="82"/>
      <c r="J1685" s="84">
        <v>11297</v>
      </c>
      <c r="K1685" s="9">
        <v>0</v>
      </c>
      <c r="L1685" s="9">
        <v>12614</v>
      </c>
      <c r="M1685" s="10">
        <v>1987</v>
      </c>
      <c r="N1685" s="9" t="s">
        <v>405</v>
      </c>
      <c r="O1685" s="10" t="s">
        <v>51</v>
      </c>
    </row>
    <row r="1686" spans="2:15" s="9" customFormat="1" ht="12.75">
      <c r="B1686" s="9" t="s">
        <v>458</v>
      </c>
      <c r="D1686" s="9" t="s">
        <v>441</v>
      </c>
      <c r="E1686" s="9">
        <v>4864615</v>
      </c>
      <c r="F1686" s="12">
        <v>383</v>
      </c>
      <c r="G1686" s="9">
        <v>4869998</v>
      </c>
      <c r="H1686" s="105">
        <v>4858701</v>
      </c>
      <c r="I1686" s="105"/>
      <c r="J1686" s="84">
        <f>G1686-H1686</f>
        <v>11297</v>
      </c>
      <c r="K1686" s="9">
        <v>0</v>
      </c>
      <c r="L1686" s="9">
        <v>12615</v>
      </c>
      <c r="M1686" s="10">
        <v>1987</v>
      </c>
      <c r="N1686" s="9" t="s">
        <v>409</v>
      </c>
      <c r="O1686" s="10">
        <v>2008</v>
      </c>
    </row>
    <row r="1687" spans="2:15" s="2" customFormat="1" ht="13.5" thickBot="1">
      <c r="B1687" s="15"/>
      <c r="E1687" s="6" t="s">
        <v>459</v>
      </c>
      <c r="F1687" s="4"/>
      <c r="G1687" s="6" t="s">
        <v>460</v>
      </c>
      <c r="L1687" s="2">
        <v>12616</v>
      </c>
      <c r="M1687" s="6">
        <v>1987</v>
      </c>
      <c r="N1687" s="2" t="s">
        <v>409</v>
      </c>
      <c r="O1687" s="6"/>
    </row>
    <row r="1688" spans="1:15" s="9" customFormat="1" ht="12.75">
      <c r="A1688" s="9" t="s">
        <v>4</v>
      </c>
      <c r="B1688" s="30">
        <v>695</v>
      </c>
      <c r="E1688" s="10">
        <v>4858000</v>
      </c>
      <c r="F1688" s="31" t="s">
        <v>461</v>
      </c>
      <c r="G1688" s="13" t="s">
        <v>462</v>
      </c>
      <c r="H1688" s="9">
        <v>4859000</v>
      </c>
      <c r="J1688" s="16" t="s">
        <v>461</v>
      </c>
      <c r="M1688" s="10">
        <v>1986</v>
      </c>
      <c r="O1688" s="10"/>
    </row>
    <row r="1689" spans="1:15" s="9" customFormat="1" ht="13.5" thickBot="1">
      <c r="A1689" s="9" t="s">
        <v>4</v>
      </c>
      <c r="B1689" s="30">
        <v>695</v>
      </c>
      <c r="E1689" s="10">
        <v>4858002</v>
      </c>
      <c r="F1689" s="31" t="s">
        <v>463</v>
      </c>
      <c r="G1689" s="10"/>
      <c r="M1689" s="10">
        <v>1987</v>
      </c>
      <c r="O1689" s="10"/>
    </row>
    <row r="1690" spans="1:15" s="26" customFormat="1" ht="12.75">
      <c r="A1690" s="26" t="s">
        <v>6</v>
      </c>
      <c r="B1690" s="29">
        <v>711</v>
      </c>
      <c r="E1690" s="27"/>
      <c r="F1690" s="28"/>
      <c r="G1690" s="27">
        <v>4868000</v>
      </c>
      <c r="M1690" s="27">
        <v>1987</v>
      </c>
      <c r="O1690" s="27"/>
    </row>
    <row r="1691" spans="2:15" s="9" customFormat="1" ht="12.75">
      <c r="B1691" s="30"/>
      <c r="E1691" s="10"/>
      <c r="F1691" s="12"/>
      <c r="G1691" s="38">
        <v>4868061</v>
      </c>
      <c r="K1691" s="9">
        <f>1061-678</f>
        <v>383</v>
      </c>
      <c r="L1691" s="9">
        <v>12678</v>
      </c>
      <c r="M1691" s="10">
        <v>1987</v>
      </c>
      <c r="N1691" s="9" t="s">
        <v>409</v>
      </c>
      <c r="O1691" s="10">
        <v>2009</v>
      </c>
    </row>
    <row r="1692" spans="2:15" s="9" customFormat="1" ht="12.75">
      <c r="B1692" s="30"/>
      <c r="D1692" s="9" t="s">
        <v>177</v>
      </c>
      <c r="E1692" s="10"/>
      <c r="F1692" s="12"/>
      <c r="G1692" s="38">
        <v>4868063</v>
      </c>
      <c r="K1692" s="9">
        <v>383</v>
      </c>
      <c r="L1692" s="9">
        <v>12680</v>
      </c>
      <c r="M1692" s="10">
        <v>1987</v>
      </c>
      <c r="N1692" s="9" t="s">
        <v>409</v>
      </c>
      <c r="O1692" s="10">
        <v>2009</v>
      </c>
    </row>
    <row r="1693" spans="2:15" s="9" customFormat="1" ht="12.75">
      <c r="B1693" s="30"/>
      <c r="D1693" s="9" t="s">
        <v>177</v>
      </c>
      <c r="E1693" s="10"/>
      <c r="F1693" s="12"/>
      <c r="G1693" s="34">
        <v>4868097</v>
      </c>
      <c r="K1693" s="9">
        <f>1097-714</f>
        <v>383</v>
      </c>
      <c r="L1693" s="9">
        <v>12714</v>
      </c>
      <c r="M1693" s="10">
        <v>1987</v>
      </c>
      <c r="N1693" s="9" t="s">
        <v>405</v>
      </c>
      <c r="O1693" s="10">
        <v>2009</v>
      </c>
    </row>
    <row r="1694" spans="2:15" s="9" customFormat="1" ht="12.75">
      <c r="B1694" s="30"/>
      <c r="D1694" s="9" t="s">
        <v>177</v>
      </c>
      <c r="E1694" s="10"/>
      <c r="F1694" s="12"/>
      <c r="G1694" s="34">
        <v>4868099</v>
      </c>
      <c r="K1694" s="9">
        <v>383</v>
      </c>
      <c r="L1694" s="9">
        <v>12716</v>
      </c>
      <c r="M1694" s="10">
        <v>1987</v>
      </c>
      <c r="N1694" s="9" t="s">
        <v>409</v>
      </c>
      <c r="O1694" s="10">
        <v>2009</v>
      </c>
    </row>
    <row r="1695" spans="2:15" s="9" customFormat="1" ht="12.75">
      <c r="B1695" s="30"/>
      <c r="E1695" s="10"/>
      <c r="F1695" s="12"/>
      <c r="G1695" s="34">
        <v>4868102</v>
      </c>
      <c r="M1695" s="13" t="s">
        <v>464</v>
      </c>
      <c r="N1695" s="9" t="s">
        <v>409</v>
      </c>
      <c r="O1695" s="10">
        <v>2009</v>
      </c>
    </row>
    <row r="1696" spans="2:15" s="9" customFormat="1" ht="12.75">
      <c r="B1696" s="30"/>
      <c r="E1696" s="10"/>
      <c r="F1696" s="12"/>
      <c r="G1696" s="34">
        <v>4868106</v>
      </c>
      <c r="K1696" s="9">
        <f>1106-723</f>
        <v>383</v>
      </c>
      <c r="L1696" s="198">
        <v>12723</v>
      </c>
      <c r="M1696" s="13">
        <v>1987</v>
      </c>
      <c r="N1696" s="198" t="s">
        <v>405</v>
      </c>
      <c r="O1696" s="10">
        <v>2009</v>
      </c>
    </row>
    <row r="1697" spans="2:15" s="9" customFormat="1" ht="12.75">
      <c r="B1697" s="30"/>
      <c r="E1697" s="10"/>
      <c r="F1697" s="12"/>
      <c r="G1697" s="34">
        <v>4868116</v>
      </c>
      <c r="K1697" s="9">
        <v>383</v>
      </c>
      <c r="L1697" s="198">
        <v>12733</v>
      </c>
      <c r="M1697" s="13">
        <v>1987</v>
      </c>
      <c r="N1697" s="198" t="s">
        <v>409</v>
      </c>
      <c r="O1697" s="10">
        <v>2009</v>
      </c>
    </row>
    <row r="1698" spans="2:15" s="9" customFormat="1" ht="12.75">
      <c r="B1698" s="30"/>
      <c r="E1698" s="10"/>
      <c r="F1698" s="12"/>
      <c r="G1698" s="34">
        <v>4868122</v>
      </c>
      <c r="K1698" s="9">
        <f>1122-739</f>
        <v>383</v>
      </c>
      <c r="L1698" s="198">
        <v>12739</v>
      </c>
      <c r="M1698" s="13">
        <v>1987</v>
      </c>
      <c r="N1698" s="198" t="s">
        <v>409</v>
      </c>
      <c r="O1698" s="10">
        <v>2009</v>
      </c>
    </row>
    <row r="1699" spans="2:15" s="9" customFormat="1" ht="12.75">
      <c r="B1699" s="30"/>
      <c r="E1699" s="10"/>
      <c r="F1699" s="12"/>
      <c r="G1699" s="34">
        <v>4868142</v>
      </c>
      <c r="K1699" s="9">
        <v>383</v>
      </c>
      <c r="L1699" s="198">
        <v>12759</v>
      </c>
      <c r="M1699" s="13">
        <v>1987</v>
      </c>
      <c r="N1699" s="198" t="s">
        <v>409</v>
      </c>
      <c r="O1699" s="10">
        <v>2009</v>
      </c>
    </row>
    <row r="1700" spans="2:15" s="9" customFormat="1" ht="12.75">
      <c r="B1700" s="30"/>
      <c r="E1700" s="10"/>
      <c r="F1700" s="12"/>
      <c r="G1700" s="34">
        <v>4868176</v>
      </c>
      <c r="K1700" s="9">
        <f>1176-793</f>
        <v>383</v>
      </c>
      <c r="L1700" s="198">
        <v>12793</v>
      </c>
      <c r="M1700" s="13">
        <v>1987</v>
      </c>
      <c r="N1700" s="198" t="s">
        <v>409</v>
      </c>
      <c r="O1700" s="10">
        <v>2009</v>
      </c>
    </row>
    <row r="1701" spans="2:15" s="9" customFormat="1" ht="12.75">
      <c r="B1701" s="30"/>
      <c r="E1701" s="10"/>
      <c r="F1701" s="12"/>
      <c r="G1701" s="34">
        <v>4868185</v>
      </c>
      <c r="K1701" s="9">
        <v>383</v>
      </c>
      <c r="L1701" s="198">
        <v>12802</v>
      </c>
      <c r="M1701" s="13">
        <v>1988</v>
      </c>
      <c r="N1701" s="198" t="s">
        <v>409</v>
      </c>
      <c r="O1701" s="10">
        <v>2009</v>
      </c>
    </row>
    <row r="1702" spans="2:15" s="9" customFormat="1" ht="12.75">
      <c r="B1702" s="30"/>
      <c r="E1702" s="10"/>
      <c r="F1702" s="12"/>
      <c r="G1702" s="34">
        <v>4868191</v>
      </c>
      <c r="K1702" s="9">
        <f>1191-808</f>
        <v>383</v>
      </c>
      <c r="L1702" s="9">
        <v>12808</v>
      </c>
      <c r="M1702" s="10">
        <v>1988</v>
      </c>
      <c r="N1702" s="9" t="s">
        <v>409</v>
      </c>
      <c r="O1702" s="10">
        <v>2009</v>
      </c>
    </row>
    <row r="1703" spans="1:15" s="2" customFormat="1" ht="13.5" thickBot="1">
      <c r="A1703" s="2" t="s">
        <v>6</v>
      </c>
      <c r="B1703" s="14">
        <v>711</v>
      </c>
      <c r="E1703" s="6"/>
      <c r="F1703" s="4"/>
      <c r="G1703" s="6">
        <v>4868199</v>
      </c>
      <c r="M1703" s="6">
        <v>1988</v>
      </c>
      <c r="O1703" s="6"/>
    </row>
    <row r="1704" spans="1:15" s="9" customFormat="1" ht="12.75">
      <c r="A1704" s="9" t="s">
        <v>6</v>
      </c>
      <c r="B1704" s="30">
        <v>711</v>
      </c>
      <c r="D1704" s="9" t="s">
        <v>177</v>
      </c>
      <c r="E1704" s="10"/>
      <c r="F1704" s="12"/>
      <c r="G1704" s="197">
        <v>4868200</v>
      </c>
      <c r="K1704" s="9">
        <v>190</v>
      </c>
      <c r="L1704" s="198">
        <v>157010</v>
      </c>
      <c r="M1704" s="10">
        <v>1991</v>
      </c>
      <c r="N1704" s="198" t="s">
        <v>96</v>
      </c>
      <c r="O1704" s="10">
        <v>2009</v>
      </c>
    </row>
    <row r="1705" spans="2:15" s="9" customFormat="1" ht="12.75">
      <c r="B1705" s="30"/>
      <c r="D1705" s="9" t="s">
        <v>177</v>
      </c>
      <c r="E1705" s="10"/>
      <c r="F1705" s="12"/>
      <c r="G1705" s="197">
        <v>4868201</v>
      </c>
      <c r="K1705" s="9">
        <v>190</v>
      </c>
      <c r="L1705" s="198">
        <v>157011</v>
      </c>
      <c r="M1705" s="10">
        <v>1991</v>
      </c>
      <c r="N1705" s="198" t="s">
        <v>96</v>
      </c>
      <c r="O1705" s="10">
        <v>2011</v>
      </c>
    </row>
    <row r="1706" spans="2:15" s="9" customFormat="1" ht="12.75">
      <c r="B1706" s="30"/>
      <c r="D1706" s="9" t="s">
        <v>177</v>
      </c>
      <c r="E1706" s="10"/>
      <c r="F1706" s="12"/>
      <c r="G1706" s="197">
        <v>4868209</v>
      </c>
      <c r="K1706" s="9">
        <v>190</v>
      </c>
      <c r="L1706" s="9">
        <v>157019</v>
      </c>
      <c r="M1706" s="10">
        <v>1991</v>
      </c>
      <c r="N1706" s="198" t="s">
        <v>96</v>
      </c>
      <c r="O1706" s="10">
        <v>2009</v>
      </c>
    </row>
    <row r="1707" spans="2:15" s="9" customFormat="1" ht="12.75">
      <c r="B1707" s="30"/>
      <c r="D1707" s="9" t="s">
        <v>177</v>
      </c>
      <c r="E1707" s="10"/>
      <c r="F1707" s="12"/>
      <c r="G1707" s="197">
        <v>4868215</v>
      </c>
      <c r="K1707" s="198">
        <v>190</v>
      </c>
      <c r="L1707" s="198">
        <v>157025</v>
      </c>
      <c r="M1707" s="10">
        <v>1991</v>
      </c>
      <c r="N1707" s="198" t="s">
        <v>465</v>
      </c>
      <c r="O1707" s="10">
        <v>2009</v>
      </c>
    </row>
    <row r="1708" spans="2:15" s="9" customFormat="1" ht="12.75">
      <c r="B1708" s="30"/>
      <c r="D1708" s="9" t="s">
        <v>177</v>
      </c>
      <c r="E1708" s="10"/>
      <c r="F1708" s="12"/>
      <c r="G1708" s="34">
        <v>4868219</v>
      </c>
      <c r="K1708" s="9">
        <f>219-29</f>
        <v>190</v>
      </c>
      <c r="L1708" s="9">
        <v>157029</v>
      </c>
      <c r="M1708" s="10">
        <v>1991</v>
      </c>
      <c r="N1708" s="9" t="s">
        <v>96</v>
      </c>
      <c r="O1708" s="10">
        <v>2009</v>
      </c>
    </row>
    <row r="1709" spans="2:15" s="9" customFormat="1" ht="12.75">
      <c r="B1709" s="30"/>
      <c r="E1709" s="10"/>
      <c r="F1709" s="12"/>
      <c r="G1709" s="34">
        <v>4868222</v>
      </c>
      <c r="K1709" s="9">
        <f>222-32</f>
        <v>190</v>
      </c>
      <c r="L1709" s="9">
        <v>157032</v>
      </c>
      <c r="M1709" s="10">
        <v>1991</v>
      </c>
      <c r="N1709" s="9" t="s">
        <v>96</v>
      </c>
      <c r="O1709" s="10">
        <v>2009</v>
      </c>
    </row>
    <row r="1710" spans="2:15" s="9" customFormat="1" ht="12.75">
      <c r="B1710" s="30"/>
      <c r="E1710" s="10"/>
      <c r="F1710" s="12"/>
      <c r="G1710" s="33">
        <v>4868247</v>
      </c>
      <c r="M1710" s="10"/>
      <c r="O1710" s="10">
        <v>1993</v>
      </c>
    </row>
    <row r="1711" spans="2:15" s="9" customFormat="1" ht="12.75">
      <c r="B1711" s="30"/>
      <c r="E1711" s="10"/>
      <c r="F1711" s="12"/>
      <c r="G1711" s="33">
        <v>4868248</v>
      </c>
      <c r="K1711" s="9">
        <f>248-58</f>
        <v>190</v>
      </c>
      <c r="L1711" s="9">
        <v>157058</v>
      </c>
      <c r="M1711" s="10">
        <v>1991</v>
      </c>
      <c r="N1711" s="9" t="s">
        <v>96</v>
      </c>
      <c r="O1711" s="10">
        <v>2009</v>
      </c>
    </row>
    <row r="1712" spans="2:15" s="9" customFormat="1" ht="12.75">
      <c r="B1712" s="30"/>
      <c r="E1712" s="10"/>
      <c r="F1712" s="12"/>
      <c r="G1712" s="33">
        <v>4868250</v>
      </c>
      <c r="K1712" s="9">
        <v>190</v>
      </c>
      <c r="L1712" s="198">
        <v>157060</v>
      </c>
      <c r="M1712" s="10">
        <v>1991</v>
      </c>
      <c r="N1712" s="198" t="s">
        <v>96</v>
      </c>
      <c r="O1712" s="10">
        <v>2009</v>
      </c>
    </row>
    <row r="1713" spans="2:15" s="9" customFormat="1" ht="12.75">
      <c r="B1713" s="30"/>
      <c r="E1713" s="10"/>
      <c r="F1713" s="12"/>
      <c r="G1713" s="33">
        <v>4868266</v>
      </c>
      <c r="K1713" s="9">
        <f>266-76</f>
        <v>190</v>
      </c>
      <c r="L1713" s="9">
        <v>157076</v>
      </c>
      <c r="M1713" s="10">
        <v>1991</v>
      </c>
      <c r="N1713" s="9" t="s">
        <v>96</v>
      </c>
      <c r="O1713" s="10">
        <v>2009</v>
      </c>
    </row>
    <row r="1714" spans="2:15" s="9" customFormat="1" ht="12.75">
      <c r="B1714" s="30"/>
      <c r="E1714" s="10"/>
      <c r="F1714" s="12"/>
      <c r="G1714" s="33">
        <v>4868273</v>
      </c>
      <c r="K1714" s="9">
        <v>190</v>
      </c>
      <c r="L1714" s="198">
        <v>157083</v>
      </c>
      <c r="M1714" s="10">
        <v>1991</v>
      </c>
      <c r="N1714" s="198" t="s">
        <v>96</v>
      </c>
      <c r="O1714" s="10">
        <v>2009</v>
      </c>
    </row>
    <row r="1715" spans="2:15" s="9" customFormat="1" ht="12.75">
      <c r="B1715" s="30"/>
      <c r="E1715" s="10"/>
      <c r="F1715" s="12"/>
      <c r="G1715" s="33">
        <v>4868274</v>
      </c>
      <c r="K1715" s="9">
        <v>190</v>
      </c>
      <c r="L1715" s="198">
        <v>157084</v>
      </c>
      <c r="M1715" s="10">
        <v>1991</v>
      </c>
      <c r="N1715" s="198" t="s">
        <v>96</v>
      </c>
      <c r="O1715" s="10">
        <v>2009</v>
      </c>
    </row>
    <row r="1716" spans="2:15" s="9" customFormat="1" ht="12.75">
      <c r="B1716" s="30"/>
      <c r="E1716" s="10"/>
      <c r="F1716" s="12"/>
      <c r="G1716" s="33">
        <v>4868283</v>
      </c>
      <c r="K1716" s="9">
        <f>283-93</f>
        <v>190</v>
      </c>
      <c r="L1716" s="9">
        <v>157093</v>
      </c>
      <c r="M1716" s="10">
        <v>1991</v>
      </c>
      <c r="N1716" s="9" t="s">
        <v>96</v>
      </c>
      <c r="O1716" s="10">
        <v>2009</v>
      </c>
    </row>
    <row r="1717" spans="2:15" s="9" customFormat="1" ht="12.75">
      <c r="B1717" s="30"/>
      <c r="E1717" s="10"/>
      <c r="F1717" s="12"/>
      <c r="G1717" s="33">
        <v>4868286</v>
      </c>
      <c r="K1717" s="9">
        <v>190</v>
      </c>
      <c r="L1717" s="198">
        <v>157096</v>
      </c>
      <c r="M1717" s="10">
        <v>1991</v>
      </c>
      <c r="N1717" s="198" t="s">
        <v>96</v>
      </c>
      <c r="O1717" s="10">
        <v>2009</v>
      </c>
    </row>
    <row r="1718" spans="2:15" s="9" customFormat="1" ht="12.75">
      <c r="B1718" s="30"/>
      <c r="C1718" s="9" t="s">
        <v>466</v>
      </c>
      <c r="D1718" s="9" t="s">
        <v>177</v>
      </c>
      <c r="E1718" s="10"/>
      <c r="F1718" s="12"/>
      <c r="G1718" s="33">
        <v>4868311</v>
      </c>
      <c r="K1718" s="9">
        <f>1311-670</f>
        <v>641</v>
      </c>
      <c r="L1718" s="9">
        <v>159670</v>
      </c>
      <c r="M1718" s="10">
        <v>1992</v>
      </c>
      <c r="N1718" s="9" t="s">
        <v>96</v>
      </c>
      <c r="O1718" s="10">
        <v>2009</v>
      </c>
    </row>
    <row r="1719" spans="2:15" s="9" customFormat="1" ht="12.75">
      <c r="B1719" s="30"/>
      <c r="E1719" s="10"/>
      <c r="F1719" s="12"/>
      <c r="G1719" s="33">
        <v>4868317</v>
      </c>
      <c r="M1719" s="10"/>
      <c r="O1719" s="10">
        <v>1993</v>
      </c>
    </row>
    <row r="1720" spans="2:15" s="9" customFormat="1" ht="12.75">
      <c r="B1720" s="30"/>
      <c r="E1720" s="10"/>
      <c r="F1720" s="12"/>
      <c r="G1720" s="33">
        <v>4868367</v>
      </c>
      <c r="K1720" s="9">
        <f>1367-726</f>
        <v>641</v>
      </c>
      <c r="L1720" s="9">
        <v>159726</v>
      </c>
      <c r="M1720" s="10">
        <v>1992</v>
      </c>
      <c r="N1720" s="9" t="s">
        <v>96</v>
      </c>
      <c r="O1720" s="10">
        <v>2009</v>
      </c>
    </row>
    <row r="1721" spans="1:15" s="9" customFormat="1" ht="12.75">
      <c r="A1721" s="9" t="s">
        <v>6</v>
      </c>
      <c r="B1721" s="30">
        <v>711</v>
      </c>
      <c r="E1721" s="10"/>
      <c r="F1721" s="12"/>
      <c r="G1721" s="33">
        <v>4868376</v>
      </c>
      <c r="M1721" s="10">
        <v>1992</v>
      </c>
      <c r="N1721" s="9" t="s">
        <v>96</v>
      </c>
      <c r="O1721" s="10">
        <v>1994</v>
      </c>
    </row>
    <row r="1722" spans="2:15" s="9" customFormat="1" ht="12.75">
      <c r="B1722" s="30"/>
      <c r="E1722" s="10"/>
      <c r="F1722" s="12"/>
      <c r="G1722" s="33">
        <v>4868395</v>
      </c>
      <c r="K1722" s="9">
        <f>1395-754</f>
        <v>641</v>
      </c>
      <c r="L1722" s="9">
        <v>159754</v>
      </c>
      <c r="M1722" s="10">
        <v>1992</v>
      </c>
      <c r="N1722" s="9" t="s">
        <v>96</v>
      </c>
      <c r="O1722" s="10">
        <v>2009</v>
      </c>
    </row>
    <row r="1723" spans="2:15" s="9" customFormat="1" ht="12.75">
      <c r="B1723" s="30"/>
      <c r="E1723" s="10"/>
      <c r="F1723" s="12"/>
      <c r="G1723" s="33">
        <v>4868414</v>
      </c>
      <c r="K1723" s="9">
        <f>1414-773</f>
        <v>641</v>
      </c>
      <c r="L1723" s="198">
        <v>159773</v>
      </c>
      <c r="M1723" s="10">
        <v>1992</v>
      </c>
      <c r="N1723" s="198" t="s">
        <v>96</v>
      </c>
      <c r="O1723" s="10">
        <v>2009</v>
      </c>
    </row>
    <row r="1724" spans="2:15" s="9" customFormat="1" ht="12.75">
      <c r="B1724" s="30"/>
      <c r="E1724" s="10"/>
      <c r="F1724" s="12"/>
      <c r="G1724" s="33">
        <v>4868418</v>
      </c>
      <c r="M1724" s="10"/>
      <c r="O1724" s="10">
        <v>1993</v>
      </c>
    </row>
    <row r="1725" spans="2:15" s="9" customFormat="1" ht="12.75">
      <c r="B1725" s="30"/>
      <c r="E1725" s="10"/>
      <c r="F1725" s="12"/>
      <c r="G1725" s="33">
        <v>4868431</v>
      </c>
      <c r="K1725" s="9">
        <f>1431-790</f>
        <v>641</v>
      </c>
      <c r="L1725" s="9">
        <v>159790</v>
      </c>
      <c r="M1725" s="10">
        <v>1992</v>
      </c>
      <c r="N1725" s="9" t="s">
        <v>96</v>
      </c>
      <c r="O1725" s="10">
        <v>2009</v>
      </c>
    </row>
    <row r="1726" spans="2:15" s="9" customFormat="1" ht="12.75">
      <c r="B1726" s="30"/>
      <c r="E1726" s="10"/>
      <c r="F1726" s="12"/>
      <c r="G1726" s="33">
        <v>4868437</v>
      </c>
      <c r="K1726" s="9">
        <f>1437-796</f>
        <v>641</v>
      </c>
      <c r="L1726" s="9">
        <v>159796</v>
      </c>
      <c r="M1726" s="10">
        <v>1992</v>
      </c>
      <c r="N1726" s="9" t="s">
        <v>96</v>
      </c>
      <c r="O1726" s="10">
        <v>2009</v>
      </c>
    </row>
    <row r="1727" spans="2:15" s="9" customFormat="1" ht="12.75">
      <c r="B1727" s="30"/>
      <c r="E1727" s="10"/>
      <c r="F1727" s="12"/>
      <c r="G1727" s="33">
        <v>4868449</v>
      </c>
      <c r="K1727" s="9">
        <f>1449-808</f>
        <v>641</v>
      </c>
      <c r="L1727" s="9">
        <v>159808</v>
      </c>
      <c r="M1727" s="10">
        <v>1992</v>
      </c>
      <c r="N1727" s="9" t="s">
        <v>96</v>
      </c>
      <c r="O1727" s="10">
        <v>2009</v>
      </c>
    </row>
    <row r="1728" spans="2:15" s="9" customFormat="1" ht="12.75">
      <c r="B1728" s="16"/>
      <c r="D1728" s="9" t="s">
        <v>177</v>
      </c>
      <c r="G1728" s="35">
        <v>4868470</v>
      </c>
      <c r="H1728" s="16"/>
      <c r="I1728" s="16"/>
      <c r="K1728" s="9">
        <f>470-333</f>
        <v>137</v>
      </c>
      <c r="L1728" s="9">
        <v>166333</v>
      </c>
      <c r="M1728" s="10">
        <v>1992</v>
      </c>
      <c r="N1728" s="9" t="s">
        <v>96</v>
      </c>
      <c r="O1728" s="10">
        <v>2009</v>
      </c>
    </row>
    <row r="1729" spans="2:15" s="9" customFormat="1" ht="12.75">
      <c r="B1729" s="16"/>
      <c r="G1729" s="35">
        <v>4868481</v>
      </c>
      <c r="H1729" s="16"/>
      <c r="I1729" s="16"/>
      <c r="K1729" s="9">
        <f>481-344</f>
        <v>137</v>
      </c>
      <c r="L1729" s="9">
        <v>166344</v>
      </c>
      <c r="M1729" s="10">
        <v>1992</v>
      </c>
      <c r="N1729" s="9" t="s">
        <v>96</v>
      </c>
      <c r="O1729" s="10">
        <v>2009</v>
      </c>
    </row>
    <row r="1730" spans="2:15" s="9" customFormat="1" ht="12.75">
      <c r="B1730" s="16"/>
      <c r="D1730" s="9" t="s">
        <v>177</v>
      </c>
      <c r="G1730" s="35">
        <v>4868484</v>
      </c>
      <c r="H1730" s="16"/>
      <c r="I1730" s="16"/>
      <c r="K1730" s="9">
        <f>484-347</f>
        <v>137</v>
      </c>
      <c r="L1730" s="9">
        <v>166347</v>
      </c>
      <c r="M1730" s="10">
        <v>1992</v>
      </c>
      <c r="N1730" s="9" t="s">
        <v>96</v>
      </c>
      <c r="O1730" s="10">
        <v>2009</v>
      </c>
    </row>
    <row r="1731" spans="2:15" s="9" customFormat="1" ht="12.75">
      <c r="B1731" s="16"/>
      <c r="C1731" s="9" t="s">
        <v>466</v>
      </c>
      <c r="D1731" s="9" t="s">
        <v>177</v>
      </c>
      <c r="G1731" s="35">
        <v>4868489</v>
      </c>
      <c r="H1731" s="16"/>
      <c r="I1731" s="16"/>
      <c r="K1731" s="9">
        <f>489-352</f>
        <v>137</v>
      </c>
      <c r="L1731" s="9">
        <v>166352</v>
      </c>
      <c r="M1731" s="13" t="s">
        <v>467</v>
      </c>
      <c r="N1731" s="9" t="s">
        <v>96</v>
      </c>
      <c r="O1731" s="10">
        <v>2009</v>
      </c>
    </row>
    <row r="1732" spans="2:15" s="9" customFormat="1" ht="12.75">
      <c r="B1732" s="16"/>
      <c r="G1732" s="35">
        <v>4868491</v>
      </c>
      <c r="H1732" s="16"/>
      <c r="I1732" s="16"/>
      <c r="K1732" s="9">
        <v>137</v>
      </c>
      <c r="L1732" s="198">
        <v>166354</v>
      </c>
      <c r="M1732" s="13">
        <v>1992</v>
      </c>
      <c r="N1732" s="198" t="s">
        <v>96</v>
      </c>
      <c r="O1732" s="10">
        <v>2009</v>
      </c>
    </row>
    <row r="1733" spans="2:15" s="9" customFormat="1" ht="12.75">
      <c r="B1733" s="16"/>
      <c r="G1733" s="35">
        <v>4868502</v>
      </c>
      <c r="H1733" s="16"/>
      <c r="I1733" s="16"/>
      <c r="K1733" s="9">
        <f>502-365</f>
        <v>137</v>
      </c>
      <c r="L1733" s="9">
        <v>166365</v>
      </c>
      <c r="M1733" s="10">
        <v>1992</v>
      </c>
      <c r="N1733" s="9" t="s">
        <v>96</v>
      </c>
      <c r="O1733" s="10">
        <v>2009</v>
      </c>
    </row>
    <row r="1734" spans="2:15" s="9" customFormat="1" ht="12.75">
      <c r="B1734" s="16"/>
      <c r="G1734" s="35">
        <v>4868527</v>
      </c>
      <c r="H1734" s="16"/>
      <c r="I1734" s="16"/>
      <c r="K1734" s="9">
        <v>137</v>
      </c>
      <c r="L1734" s="198">
        <v>166390</v>
      </c>
      <c r="M1734" s="10">
        <v>1992</v>
      </c>
      <c r="N1734" s="198" t="s">
        <v>96</v>
      </c>
      <c r="O1734" s="10">
        <v>2009</v>
      </c>
    </row>
    <row r="1735" spans="2:15" s="9" customFormat="1" ht="12.75">
      <c r="B1735" s="16"/>
      <c r="G1735" s="35">
        <v>4868565</v>
      </c>
      <c r="H1735" s="16"/>
      <c r="I1735" s="16"/>
      <c r="K1735" s="9">
        <f>565-428</f>
        <v>137</v>
      </c>
      <c r="L1735" s="198">
        <v>166428</v>
      </c>
      <c r="M1735" s="10">
        <v>1993</v>
      </c>
      <c r="N1735" s="198" t="s">
        <v>96</v>
      </c>
      <c r="O1735" s="10">
        <v>2009</v>
      </c>
    </row>
    <row r="1736" spans="2:15" s="9" customFormat="1" ht="12.75">
      <c r="B1736" s="16"/>
      <c r="G1736" s="35">
        <v>4868578</v>
      </c>
      <c r="H1736" s="16"/>
      <c r="I1736" s="16"/>
      <c r="K1736" s="9">
        <f>578-441</f>
        <v>137</v>
      </c>
      <c r="L1736" s="9">
        <v>166441</v>
      </c>
      <c r="M1736" s="13" t="s">
        <v>468</v>
      </c>
      <c r="N1736" s="9" t="s">
        <v>96</v>
      </c>
      <c r="O1736" s="10">
        <v>2009</v>
      </c>
    </row>
    <row r="1737" spans="2:15" s="9" customFormat="1" ht="12.75">
      <c r="B1737" s="16"/>
      <c r="G1737" s="35">
        <v>4868579</v>
      </c>
      <c r="H1737" s="16"/>
      <c r="I1737" s="16"/>
      <c r="K1737" s="9">
        <v>137</v>
      </c>
      <c r="L1737" s="198">
        <v>166442</v>
      </c>
      <c r="M1737" s="13">
        <v>1993</v>
      </c>
      <c r="N1737" s="198" t="s">
        <v>96</v>
      </c>
      <c r="O1737" s="10">
        <v>2009</v>
      </c>
    </row>
    <row r="1738" spans="2:15" s="9" customFormat="1" ht="12.75">
      <c r="B1738" s="16"/>
      <c r="G1738" s="35">
        <v>4868591</v>
      </c>
      <c r="H1738" s="16"/>
      <c r="I1738" s="16"/>
      <c r="K1738" s="9">
        <v>137</v>
      </c>
      <c r="L1738" s="9">
        <v>166454</v>
      </c>
      <c r="M1738" s="10">
        <v>1993</v>
      </c>
      <c r="N1738" s="9" t="s">
        <v>96</v>
      </c>
      <c r="O1738" s="10">
        <v>2009</v>
      </c>
    </row>
    <row r="1739" spans="2:15" s="9" customFormat="1" ht="12.75">
      <c r="B1739" s="16"/>
      <c r="G1739" s="35">
        <v>4868594</v>
      </c>
      <c r="H1739" s="16"/>
      <c r="I1739" s="16"/>
      <c r="K1739" s="9">
        <f>594-457</f>
        <v>137</v>
      </c>
      <c r="L1739" s="9">
        <v>166457</v>
      </c>
      <c r="M1739" s="10">
        <v>1993</v>
      </c>
      <c r="N1739" s="9" t="s">
        <v>96</v>
      </c>
      <c r="O1739" s="10">
        <v>2009</v>
      </c>
    </row>
    <row r="1740" spans="2:15" s="9" customFormat="1" ht="12.75">
      <c r="B1740" s="16"/>
      <c r="G1740" s="35">
        <v>4868606</v>
      </c>
      <c r="H1740" s="16"/>
      <c r="I1740" s="16"/>
      <c r="K1740" s="9">
        <v>137</v>
      </c>
      <c r="L1740" s="198">
        <v>166469</v>
      </c>
      <c r="M1740" s="10">
        <v>1993</v>
      </c>
      <c r="N1740" s="198" t="s">
        <v>96</v>
      </c>
      <c r="O1740" s="10">
        <v>2009</v>
      </c>
    </row>
    <row r="1741" spans="2:15" s="9" customFormat="1" ht="12.75">
      <c r="B1741" s="16"/>
      <c r="G1741" s="35">
        <v>4868632</v>
      </c>
      <c r="H1741" s="16"/>
      <c r="I1741" s="16"/>
      <c r="K1741" s="9">
        <f>632-495</f>
        <v>137</v>
      </c>
      <c r="L1741" s="9">
        <v>166495</v>
      </c>
      <c r="M1741" s="10">
        <v>1993</v>
      </c>
      <c r="N1741" s="9" t="s">
        <v>96</v>
      </c>
      <c r="O1741" s="10">
        <v>2009</v>
      </c>
    </row>
    <row r="1742" spans="2:15" s="9" customFormat="1" ht="12.75">
      <c r="B1742" s="16"/>
      <c r="G1742" s="35">
        <v>4868645</v>
      </c>
      <c r="H1742" s="16"/>
      <c r="I1742" s="16"/>
      <c r="K1742" s="9">
        <f>645-508</f>
        <v>137</v>
      </c>
      <c r="L1742" s="198">
        <v>166508</v>
      </c>
      <c r="M1742" s="10">
        <v>1993</v>
      </c>
      <c r="N1742" s="198" t="s">
        <v>96</v>
      </c>
      <c r="O1742" s="10">
        <v>2009</v>
      </c>
    </row>
    <row r="1743" spans="2:15" s="2" customFormat="1" ht="13.5" thickBot="1">
      <c r="B1743" s="15"/>
      <c r="G1743" s="36">
        <v>4868649</v>
      </c>
      <c r="H1743" s="15"/>
      <c r="I1743" s="15"/>
      <c r="M1743" s="6"/>
      <c r="O1743" s="6"/>
    </row>
    <row r="1744" spans="2:15" s="9" customFormat="1" ht="12.75">
      <c r="B1744" s="16"/>
      <c r="D1744" s="9" t="s">
        <v>469</v>
      </c>
      <c r="G1744" s="9" t="s">
        <v>166</v>
      </c>
      <c r="H1744" s="94">
        <v>4852008</v>
      </c>
      <c r="I1744" s="94"/>
      <c r="J1744" s="94"/>
      <c r="L1744" s="13" t="s">
        <v>470</v>
      </c>
      <c r="M1744" s="13" t="s">
        <v>471</v>
      </c>
      <c r="N1744" s="9" t="s">
        <v>472</v>
      </c>
      <c r="O1744" s="10">
        <v>2008</v>
      </c>
    </row>
    <row r="1745" spans="2:15" s="9" customFormat="1" ht="12.75">
      <c r="B1745" s="30">
        <v>489</v>
      </c>
      <c r="H1745" s="11">
        <v>4852057</v>
      </c>
      <c r="I1745" s="11"/>
      <c r="J1745" s="11"/>
      <c r="L1745" s="13" t="s">
        <v>473</v>
      </c>
      <c r="M1745" s="10">
        <v>2007</v>
      </c>
      <c r="N1745" s="9" t="s">
        <v>472</v>
      </c>
      <c r="O1745" s="10">
        <v>2008</v>
      </c>
    </row>
    <row r="1746" spans="2:15" s="9" customFormat="1" ht="12.75">
      <c r="B1746" s="48">
        <v>489</v>
      </c>
      <c r="D1746" s="9" t="s">
        <v>474</v>
      </c>
      <c r="H1746" s="11">
        <v>4852068</v>
      </c>
      <c r="I1746" s="11"/>
      <c r="J1746" s="11"/>
      <c r="L1746" s="13" t="s">
        <v>475</v>
      </c>
      <c r="M1746" s="10">
        <v>2007</v>
      </c>
      <c r="N1746" s="9" t="s">
        <v>472</v>
      </c>
      <c r="O1746" s="10">
        <v>2008</v>
      </c>
    </row>
    <row r="1747" spans="2:15" s="9" customFormat="1" ht="12.75">
      <c r="B1747" s="48">
        <v>489</v>
      </c>
      <c r="D1747" s="9" t="s">
        <v>476</v>
      </c>
      <c r="H1747" s="11">
        <v>4852110</v>
      </c>
      <c r="I1747" s="11"/>
      <c r="J1747" s="11"/>
      <c r="L1747" s="13" t="s">
        <v>477</v>
      </c>
      <c r="M1747" s="13" t="s">
        <v>478</v>
      </c>
      <c r="N1747" s="198" t="s">
        <v>472</v>
      </c>
      <c r="O1747" s="10">
        <v>2010</v>
      </c>
    </row>
    <row r="1748" spans="2:15" s="9" customFormat="1" ht="12.75">
      <c r="B1748" s="48"/>
      <c r="D1748" s="9" t="s">
        <v>479</v>
      </c>
      <c r="H1748" s="11">
        <v>4852111</v>
      </c>
      <c r="I1748" s="11"/>
      <c r="J1748" s="11"/>
      <c r="L1748" s="13" t="s">
        <v>480</v>
      </c>
      <c r="M1748" s="13" t="s">
        <v>481</v>
      </c>
      <c r="N1748" s="9" t="s">
        <v>472</v>
      </c>
      <c r="O1748" s="10">
        <v>2008</v>
      </c>
    </row>
    <row r="1749" spans="2:15" s="9" customFormat="1" ht="12.75">
      <c r="B1749" s="48"/>
      <c r="D1749" s="9" t="s">
        <v>482</v>
      </c>
      <c r="H1749" s="11">
        <v>4852116</v>
      </c>
      <c r="I1749" s="11"/>
      <c r="J1749" s="11"/>
      <c r="L1749" s="13" t="s">
        <v>483</v>
      </c>
      <c r="M1749" s="13" t="s">
        <v>484</v>
      </c>
      <c r="N1749" s="9" t="s">
        <v>472</v>
      </c>
      <c r="O1749" s="10">
        <v>2008</v>
      </c>
    </row>
    <row r="1750" spans="2:15" s="9" customFormat="1" ht="12.75">
      <c r="B1750" s="48"/>
      <c r="D1750" s="9" t="s">
        <v>485</v>
      </c>
      <c r="H1750" s="11">
        <v>4852135</v>
      </c>
      <c r="I1750" s="11"/>
      <c r="J1750" s="11"/>
      <c r="L1750" s="13" t="s">
        <v>486</v>
      </c>
      <c r="M1750" s="13" t="s">
        <v>487</v>
      </c>
      <c r="N1750" s="198" t="s">
        <v>472</v>
      </c>
      <c r="O1750" s="10">
        <v>2010</v>
      </c>
    </row>
    <row r="1751" spans="2:15" s="9" customFormat="1" ht="12.75">
      <c r="B1751" s="48"/>
      <c r="D1751" s="198" t="s">
        <v>488</v>
      </c>
      <c r="H1751" s="11">
        <v>4852136</v>
      </c>
      <c r="I1751" s="11"/>
      <c r="J1751" s="11"/>
      <c r="L1751" s="13" t="s">
        <v>489</v>
      </c>
      <c r="M1751" s="10" t="s">
        <v>490</v>
      </c>
      <c r="N1751" s="198" t="s">
        <v>472</v>
      </c>
      <c r="O1751" s="10">
        <v>2012</v>
      </c>
    </row>
    <row r="1752" spans="2:15" s="9" customFormat="1" ht="12.75">
      <c r="B1752" s="48"/>
      <c r="D1752" s="198" t="s">
        <v>491</v>
      </c>
      <c r="H1752" s="11">
        <v>4852138</v>
      </c>
      <c r="I1752" s="11"/>
      <c r="J1752" s="11"/>
      <c r="L1752" s="13" t="s">
        <v>492</v>
      </c>
      <c r="M1752" s="13" t="s">
        <v>493</v>
      </c>
      <c r="N1752" s="198" t="s">
        <v>472</v>
      </c>
      <c r="O1752" s="10">
        <v>2010</v>
      </c>
    </row>
    <row r="1753" spans="4:15" s="9" customFormat="1" ht="12.75">
      <c r="D1753" s="198" t="s">
        <v>494</v>
      </c>
      <c r="H1753" s="94">
        <v>4852141</v>
      </c>
      <c r="I1753" s="94"/>
      <c r="J1753" s="94"/>
      <c r="L1753" s="13" t="s">
        <v>495</v>
      </c>
      <c r="M1753" s="13" t="s">
        <v>496</v>
      </c>
      <c r="N1753" s="198" t="s">
        <v>472</v>
      </c>
      <c r="O1753" s="10">
        <v>2010</v>
      </c>
    </row>
    <row r="1754" spans="2:15" s="9" customFormat="1" ht="12.75">
      <c r="B1754" s="48"/>
      <c r="D1754" s="9" t="s">
        <v>497</v>
      </c>
      <c r="H1754" s="11">
        <v>4852158</v>
      </c>
      <c r="I1754" s="11"/>
      <c r="J1754" s="11"/>
      <c r="L1754" s="13">
        <v>159</v>
      </c>
      <c r="M1754" s="10" t="s">
        <v>498</v>
      </c>
      <c r="N1754" s="9" t="s">
        <v>472</v>
      </c>
      <c r="O1754" s="10">
        <v>2012</v>
      </c>
    </row>
    <row r="1755" spans="4:15" s="9" customFormat="1" ht="12.75">
      <c r="D1755" s="9" t="s">
        <v>499</v>
      </c>
      <c r="H1755" s="11">
        <v>4852161</v>
      </c>
      <c r="I1755" s="11"/>
      <c r="J1755" s="11"/>
      <c r="L1755" s="9">
        <v>162</v>
      </c>
      <c r="M1755" s="10">
        <v>2008</v>
      </c>
      <c r="N1755" s="9" t="s">
        <v>472</v>
      </c>
      <c r="O1755" s="10">
        <v>2008</v>
      </c>
    </row>
    <row r="1756" spans="4:15" s="9" customFormat="1" ht="12.75">
      <c r="D1756" s="198" t="s">
        <v>500</v>
      </c>
      <c r="H1756" s="11">
        <v>4852163</v>
      </c>
      <c r="I1756" s="11"/>
      <c r="J1756" s="11"/>
      <c r="L1756" s="9">
        <v>164</v>
      </c>
      <c r="M1756" s="13" t="s">
        <v>501</v>
      </c>
      <c r="N1756" s="198" t="s">
        <v>472</v>
      </c>
      <c r="O1756" s="10">
        <v>2010</v>
      </c>
    </row>
    <row r="1757" spans="4:15" s="9" customFormat="1" ht="12.75">
      <c r="D1757" s="9" t="s">
        <v>502</v>
      </c>
      <c r="H1757" s="94">
        <v>4852166</v>
      </c>
      <c r="I1757" s="94"/>
      <c r="J1757" s="94"/>
      <c r="L1757" s="9">
        <v>167</v>
      </c>
      <c r="M1757" s="13" t="s">
        <v>503</v>
      </c>
      <c r="N1757" s="9" t="s">
        <v>472</v>
      </c>
      <c r="O1757" s="10">
        <v>2008</v>
      </c>
    </row>
    <row r="1758" spans="4:15" s="9" customFormat="1" ht="12.75">
      <c r="D1758" s="198" t="s">
        <v>504</v>
      </c>
      <c r="H1758" s="94">
        <v>4852172</v>
      </c>
      <c r="I1758" s="94"/>
      <c r="J1758" s="94"/>
      <c r="L1758" s="198">
        <v>173</v>
      </c>
      <c r="M1758" s="10" t="s">
        <v>505</v>
      </c>
      <c r="N1758" s="198" t="s">
        <v>472</v>
      </c>
      <c r="O1758" s="10">
        <v>2012</v>
      </c>
    </row>
    <row r="1759" spans="4:15" s="9" customFormat="1" ht="12.75">
      <c r="D1759" s="198" t="s">
        <v>506</v>
      </c>
      <c r="H1759" s="94">
        <v>4852174</v>
      </c>
      <c r="I1759" s="94"/>
      <c r="J1759" s="94"/>
      <c r="L1759" s="198">
        <v>175</v>
      </c>
      <c r="M1759" s="10">
        <v>2008</v>
      </c>
      <c r="N1759" s="198" t="s">
        <v>472</v>
      </c>
      <c r="O1759" s="10">
        <v>2020</v>
      </c>
    </row>
    <row r="1760" spans="4:15" s="9" customFormat="1" ht="12.75">
      <c r="D1760" s="198" t="s">
        <v>507</v>
      </c>
      <c r="H1760" s="94">
        <v>4852179</v>
      </c>
      <c r="I1760" s="94"/>
      <c r="J1760" s="94"/>
      <c r="L1760" s="198">
        <v>180</v>
      </c>
      <c r="M1760" s="13" t="s">
        <v>508</v>
      </c>
      <c r="N1760" s="198" t="s">
        <v>472</v>
      </c>
      <c r="O1760" s="10">
        <v>2010</v>
      </c>
    </row>
    <row r="1761" spans="4:15" s="9" customFormat="1" ht="12.75">
      <c r="D1761" s="198" t="s">
        <v>509</v>
      </c>
      <c r="G1761" s="9" t="s">
        <v>166</v>
      </c>
      <c r="H1761" s="94">
        <v>4852201</v>
      </c>
      <c r="I1761" s="94"/>
      <c r="J1761" s="94"/>
      <c r="L1761" s="198">
        <v>202</v>
      </c>
      <c r="M1761" s="13" t="s">
        <v>510</v>
      </c>
      <c r="N1761" s="198" t="s">
        <v>472</v>
      </c>
      <c r="O1761" s="10">
        <v>2011</v>
      </c>
    </row>
    <row r="1762" spans="4:15" s="9" customFormat="1" ht="12.75">
      <c r="D1762" s="198" t="s">
        <v>511</v>
      </c>
      <c r="G1762" s="9" t="s">
        <v>512</v>
      </c>
      <c r="H1762" s="94">
        <v>4852202</v>
      </c>
      <c r="I1762" s="94"/>
      <c r="J1762" s="94"/>
      <c r="L1762" s="198">
        <v>203</v>
      </c>
      <c r="M1762" s="10" t="s">
        <v>513</v>
      </c>
      <c r="N1762" s="198" t="s">
        <v>472</v>
      </c>
      <c r="O1762" s="10"/>
    </row>
    <row r="1763" spans="4:15" s="9" customFormat="1" ht="12.75">
      <c r="D1763" s="198" t="s">
        <v>514</v>
      </c>
      <c r="G1763" s="9" t="s">
        <v>166</v>
      </c>
      <c r="H1763" s="94">
        <v>4852235</v>
      </c>
      <c r="I1763" s="94"/>
      <c r="J1763" s="94"/>
      <c r="L1763" s="198">
        <v>236</v>
      </c>
      <c r="M1763" s="13" t="s">
        <v>515</v>
      </c>
      <c r="N1763" s="198" t="s">
        <v>472</v>
      </c>
      <c r="O1763" s="10">
        <v>2012</v>
      </c>
    </row>
    <row r="1764" spans="4:15" s="9" customFormat="1" ht="12.75">
      <c r="D1764" s="198" t="s">
        <v>516</v>
      </c>
      <c r="H1764" s="94">
        <v>4852258</v>
      </c>
      <c r="I1764" s="94"/>
      <c r="J1764" s="94"/>
      <c r="L1764" s="208">
        <v>259</v>
      </c>
      <c r="M1764" s="13" t="s">
        <v>517</v>
      </c>
      <c r="N1764" s="198" t="s">
        <v>472</v>
      </c>
      <c r="O1764" s="10">
        <v>2010</v>
      </c>
    </row>
    <row r="1765" spans="4:15" s="9" customFormat="1" ht="12.75">
      <c r="D1765" s="198" t="s">
        <v>518</v>
      </c>
      <c r="H1765" s="94">
        <v>4852269</v>
      </c>
      <c r="I1765" s="94"/>
      <c r="J1765" s="94"/>
      <c r="L1765" s="208">
        <v>270</v>
      </c>
      <c r="M1765" s="13" t="s">
        <v>519</v>
      </c>
      <c r="N1765" s="198" t="s">
        <v>472</v>
      </c>
      <c r="O1765" s="10">
        <v>2010</v>
      </c>
    </row>
    <row r="1766" spans="4:15" s="9" customFormat="1" ht="12.75">
      <c r="D1766" s="198" t="s">
        <v>520</v>
      </c>
      <c r="H1766" s="94">
        <v>4852282</v>
      </c>
      <c r="I1766" s="94"/>
      <c r="J1766" s="94"/>
      <c r="L1766" s="208">
        <v>283</v>
      </c>
      <c r="M1766" s="13" t="s">
        <v>521</v>
      </c>
      <c r="N1766" s="198" t="s">
        <v>472</v>
      </c>
      <c r="O1766" s="10">
        <v>2010</v>
      </c>
    </row>
    <row r="1767" spans="3:15" s="9" customFormat="1" ht="12.75">
      <c r="C1767" s="9" t="s">
        <v>522</v>
      </c>
      <c r="D1767" s="198" t="s">
        <v>523</v>
      </c>
      <c r="H1767" s="94">
        <v>4852291</v>
      </c>
      <c r="I1767" s="94"/>
      <c r="J1767" s="94"/>
      <c r="L1767" s="208">
        <v>292</v>
      </c>
      <c r="M1767" s="10" t="s">
        <v>524</v>
      </c>
      <c r="N1767" s="198" t="s">
        <v>472</v>
      </c>
      <c r="O1767" s="10">
        <v>2012</v>
      </c>
    </row>
    <row r="1768" spans="4:15" s="9" customFormat="1" ht="12.75">
      <c r="D1768" s="198"/>
      <c r="H1768" s="94">
        <v>4852295</v>
      </c>
      <c r="I1768" s="94"/>
      <c r="J1768" s="94"/>
      <c r="L1768" s="208">
        <v>296</v>
      </c>
      <c r="M1768" s="13">
        <v>2008</v>
      </c>
      <c r="N1768" s="198" t="s">
        <v>472</v>
      </c>
      <c r="O1768" s="10">
        <v>2010</v>
      </c>
    </row>
    <row r="1769" spans="2:15" s="9" customFormat="1" ht="12.75">
      <c r="B1769" s="9" t="s">
        <v>525</v>
      </c>
      <c r="C1769" s="9" t="s">
        <v>522</v>
      </c>
      <c r="D1769" s="9" t="s">
        <v>526</v>
      </c>
      <c r="H1769" s="94">
        <v>4852306</v>
      </c>
      <c r="I1769" s="94"/>
      <c r="J1769" s="94"/>
      <c r="L1769" s="9">
        <v>307</v>
      </c>
      <c r="M1769" s="13" t="s">
        <v>527</v>
      </c>
      <c r="N1769" s="9" t="s">
        <v>472</v>
      </c>
      <c r="O1769" s="10">
        <v>2009</v>
      </c>
    </row>
    <row r="1770" spans="4:15" s="9" customFormat="1" ht="12.75">
      <c r="D1770" s="198" t="s">
        <v>528</v>
      </c>
      <c r="H1770" s="94">
        <v>4852319</v>
      </c>
      <c r="I1770" s="94"/>
      <c r="J1770" s="94"/>
      <c r="L1770" s="208">
        <v>320</v>
      </c>
      <c r="M1770" s="10" t="s">
        <v>529</v>
      </c>
      <c r="N1770" s="198" t="s">
        <v>472</v>
      </c>
      <c r="O1770" s="10">
        <v>2014</v>
      </c>
    </row>
    <row r="1771" spans="4:15" s="9" customFormat="1" ht="12.75">
      <c r="D1771" s="198" t="s">
        <v>530</v>
      </c>
      <c r="H1771" s="94">
        <v>4852347</v>
      </c>
      <c r="I1771" s="94"/>
      <c r="J1771" s="94"/>
      <c r="L1771" s="208">
        <v>348</v>
      </c>
      <c r="M1771" s="10" t="s">
        <v>531</v>
      </c>
      <c r="N1771" s="198" t="s">
        <v>472</v>
      </c>
      <c r="O1771" s="10">
        <v>2020</v>
      </c>
    </row>
    <row r="1772" spans="4:15" s="9" customFormat="1" ht="12.75">
      <c r="D1772" s="9" t="s">
        <v>532</v>
      </c>
      <c r="H1772" s="94">
        <v>4852350</v>
      </c>
      <c r="I1772" s="94"/>
      <c r="J1772" s="94"/>
      <c r="L1772" s="208">
        <v>351</v>
      </c>
      <c r="M1772" s="13" t="s">
        <v>533</v>
      </c>
      <c r="N1772" s="198" t="s">
        <v>472</v>
      </c>
      <c r="O1772" s="10">
        <v>2010</v>
      </c>
    </row>
    <row r="1773" spans="4:15" s="9" customFormat="1" ht="12.75">
      <c r="D1773" s="198" t="s">
        <v>534</v>
      </c>
      <c r="H1773" s="94">
        <v>4852359</v>
      </c>
      <c r="I1773" s="94"/>
      <c r="J1773" s="94"/>
      <c r="L1773" s="208">
        <v>360</v>
      </c>
      <c r="M1773" s="10" t="s">
        <v>535</v>
      </c>
      <c r="N1773" s="198" t="s">
        <v>472</v>
      </c>
      <c r="O1773" s="10">
        <v>2020</v>
      </c>
    </row>
    <row r="1774" spans="4:15" s="9" customFormat="1" ht="12.75">
      <c r="D1774" s="198" t="s">
        <v>536</v>
      </c>
      <c r="H1774" s="94">
        <v>4852361</v>
      </c>
      <c r="I1774" s="94"/>
      <c r="J1774" s="94"/>
      <c r="L1774" s="208">
        <v>362</v>
      </c>
      <c r="M1774" s="10" t="s">
        <v>537</v>
      </c>
      <c r="N1774" s="198" t="s">
        <v>472</v>
      </c>
      <c r="O1774" s="10">
        <v>2012</v>
      </c>
    </row>
    <row r="1775" spans="4:15" s="9" customFormat="1" ht="12.75">
      <c r="D1775" s="254" t="s">
        <v>538</v>
      </c>
      <c r="H1775" s="94">
        <v>4852362</v>
      </c>
      <c r="I1775" s="94"/>
      <c r="J1775" s="94"/>
      <c r="L1775" s="208" t="s">
        <v>24</v>
      </c>
      <c r="M1775" s="10" t="s">
        <v>539</v>
      </c>
      <c r="N1775" s="198" t="s">
        <v>472</v>
      </c>
      <c r="O1775" s="10">
        <v>2014</v>
      </c>
    </row>
    <row r="1776" spans="4:15" s="9" customFormat="1" ht="12.75">
      <c r="D1776" s="198" t="s">
        <v>540</v>
      </c>
      <c r="H1776" s="94">
        <v>4852373</v>
      </c>
      <c r="I1776" s="94"/>
      <c r="J1776" s="94"/>
      <c r="L1776" s="208">
        <v>374</v>
      </c>
      <c r="M1776" s="13" t="s">
        <v>541</v>
      </c>
      <c r="N1776" s="198" t="s">
        <v>472</v>
      </c>
      <c r="O1776" s="10"/>
    </row>
    <row r="1777" spans="4:15" s="9" customFormat="1" ht="12.75">
      <c r="D1777" s="198" t="s">
        <v>542</v>
      </c>
      <c r="H1777" s="94">
        <v>4852379</v>
      </c>
      <c r="I1777" s="94"/>
      <c r="J1777" s="94"/>
      <c r="L1777" s="208">
        <v>380</v>
      </c>
      <c r="M1777" s="13" t="s">
        <v>543</v>
      </c>
      <c r="N1777" s="198" t="s">
        <v>472</v>
      </c>
      <c r="O1777" s="10">
        <v>2011</v>
      </c>
    </row>
    <row r="1778" spans="4:15" s="9" customFormat="1" ht="12.75">
      <c r="D1778" s="9" t="s">
        <v>544</v>
      </c>
      <c r="H1778" s="94">
        <v>4852394</v>
      </c>
      <c r="I1778" s="94"/>
      <c r="J1778" s="94"/>
      <c r="L1778" s="208">
        <v>395</v>
      </c>
      <c r="M1778" s="13" t="s">
        <v>545</v>
      </c>
      <c r="N1778" s="198" t="s">
        <v>472</v>
      </c>
      <c r="O1778" s="10">
        <v>2010</v>
      </c>
    </row>
    <row r="1779" spans="4:15" s="9" customFormat="1" ht="12.75">
      <c r="D1779" s="9" t="s">
        <v>546</v>
      </c>
      <c r="G1779" s="9" t="s">
        <v>166</v>
      </c>
      <c r="H1779" s="94">
        <v>4852406</v>
      </c>
      <c r="I1779" s="94"/>
      <c r="J1779" s="94"/>
      <c r="L1779" s="208">
        <v>407</v>
      </c>
      <c r="M1779" s="13" t="s">
        <v>547</v>
      </c>
      <c r="N1779" s="198" t="s">
        <v>472</v>
      </c>
      <c r="O1779" s="10">
        <v>2010</v>
      </c>
    </row>
    <row r="1780" spans="4:15" s="9" customFormat="1" ht="12.75">
      <c r="D1780" s="198" t="s">
        <v>548</v>
      </c>
      <c r="G1780" s="9" t="s">
        <v>166</v>
      </c>
      <c r="H1780" s="94">
        <v>4852407</v>
      </c>
      <c r="I1780" s="94"/>
      <c r="J1780" s="94"/>
      <c r="L1780" s="208">
        <v>408</v>
      </c>
      <c r="M1780" s="10" t="s">
        <v>547</v>
      </c>
      <c r="N1780" s="198" t="s">
        <v>472</v>
      </c>
      <c r="O1780" s="10">
        <v>2010</v>
      </c>
    </row>
    <row r="1781" spans="2:15" s="9" customFormat="1" ht="12.75">
      <c r="B1781" s="9" t="s">
        <v>525</v>
      </c>
      <c r="C1781" s="9" t="s">
        <v>522</v>
      </c>
      <c r="D1781" s="9" t="s">
        <v>549</v>
      </c>
      <c r="G1781" s="9" t="s">
        <v>166</v>
      </c>
      <c r="H1781" s="94">
        <v>4852408</v>
      </c>
      <c r="I1781" s="94"/>
      <c r="J1781" s="94"/>
      <c r="L1781" s="9">
        <v>409</v>
      </c>
      <c r="M1781" s="13" t="s">
        <v>550</v>
      </c>
      <c r="N1781" s="9" t="s">
        <v>472</v>
      </c>
      <c r="O1781" s="10">
        <v>2008</v>
      </c>
    </row>
    <row r="1782" spans="4:15" s="9" customFormat="1" ht="12.75">
      <c r="D1782" s="198" t="s">
        <v>551</v>
      </c>
      <c r="G1782" s="9" t="s">
        <v>166</v>
      </c>
      <c r="H1782" s="94">
        <v>4852421</v>
      </c>
      <c r="I1782" s="94"/>
      <c r="J1782" s="94"/>
      <c r="L1782" s="208">
        <v>422</v>
      </c>
      <c r="M1782" s="13" t="s">
        <v>552</v>
      </c>
      <c r="N1782" s="198" t="s">
        <v>472</v>
      </c>
      <c r="O1782" s="10" t="s">
        <v>262</v>
      </c>
    </row>
    <row r="1783" spans="4:15" s="9" customFormat="1" ht="12.75">
      <c r="D1783" s="198" t="s">
        <v>553</v>
      </c>
      <c r="H1783" s="94">
        <v>4852428</v>
      </c>
      <c r="I1783" s="94"/>
      <c r="J1783" s="94"/>
      <c r="L1783" s="208">
        <v>429</v>
      </c>
      <c r="M1783" s="13" t="s">
        <v>554</v>
      </c>
      <c r="N1783" s="198" t="s">
        <v>472</v>
      </c>
      <c r="O1783" s="10">
        <v>2010</v>
      </c>
    </row>
    <row r="1784" spans="4:15" s="9" customFormat="1" ht="12.75">
      <c r="D1784" s="198" t="s">
        <v>555</v>
      </c>
      <c r="H1784" s="94">
        <v>4852451</v>
      </c>
      <c r="I1784" s="94"/>
      <c r="J1784" s="94"/>
      <c r="L1784" s="198">
        <v>452</v>
      </c>
      <c r="M1784" s="13" t="s">
        <v>556</v>
      </c>
      <c r="N1784" s="198" t="s">
        <v>472</v>
      </c>
      <c r="O1784" s="10">
        <v>2009</v>
      </c>
    </row>
    <row r="1785" spans="4:15" s="9" customFormat="1" ht="12.75">
      <c r="D1785" s="198" t="s">
        <v>557</v>
      </c>
      <c r="H1785" s="94">
        <v>4852462</v>
      </c>
      <c r="I1785" s="94"/>
      <c r="J1785" s="94"/>
      <c r="L1785" s="208">
        <v>463</v>
      </c>
      <c r="M1785" s="13" t="s">
        <v>558</v>
      </c>
      <c r="N1785" s="198" t="s">
        <v>472</v>
      </c>
      <c r="O1785" s="10">
        <v>2012</v>
      </c>
    </row>
    <row r="1786" spans="2:15" s="9" customFormat="1" ht="12.75">
      <c r="B1786" s="9" t="s">
        <v>525</v>
      </c>
      <c r="C1786" s="9" t="s">
        <v>522</v>
      </c>
      <c r="D1786" s="9" t="s">
        <v>559</v>
      </c>
      <c r="H1786" s="77">
        <v>4852464</v>
      </c>
      <c r="I1786" s="77"/>
      <c r="J1786" s="77"/>
      <c r="L1786" s="9">
        <v>465</v>
      </c>
      <c r="M1786" s="13" t="s">
        <v>558</v>
      </c>
      <c r="N1786" s="9" t="s">
        <v>472</v>
      </c>
      <c r="O1786" s="10">
        <v>2008</v>
      </c>
    </row>
    <row r="1787" spans="4:15" s="9" customFormat="1" ht="12.75">
      <c r="D1787" s="198" t="s">
        <v>560</v>
      </c>
      <c r="H1787" s="77">
        <v>4852465</v>
      </c>
      <c r="I1787" s="77"/>
      <c r="J1787" s="77"/>
      <c r="L1787" s="198">
        <v>466</v>
      </c>
      <c r="M1787" s="13" t="s">
        <v>561</v>
      </c>
      <c r="N1787" s="198" t="s">
        <v>472</v>
      </c>
      <c r="O1787" s="10">
        <v>2009</v>
      </c>
    </row>
    <row r="1788" spans="4:15" s="9" customFormat="1" ht="12.75">
      <c r="D1788" s="198" t="s">
        <v>562</v>
      </c>
      <c r="H1788" s="77">
        <v>4852485</v>
      </c>
      <c r="I1788" s="77"/>
      <c r="J1788" s="77"/>
      <c r="L1788" s="198">
        <v>486</v>
      </c>
      <c r="M1788" s="13" t="s">
        <v>563</v>
      </c>
      <c r="N1788" s="198" t="s">
        <v>472</v>
      </c>
      <c r="O1788" s="10">
        <v>2010</v>
      </c>
    </row>
    <row r="1789" spans="4:15" s="9" customFormat="1" ht="12.75">
      <c r="D1789" s="9" t="s">
        <v>564</v>
      </c>
      <c r="H1789" s="77">
        <v>4852490</v>
      </c>
      <c r="I1789" s="77"/>
      <c r="J1789" s="77"/>
      <c r="L1789" s="9">
        <v>489</v>
      </c>
      <c r="M1789" s="10" t="s">
        <v>565</v>
      </c>
      <c r="N1789" s="9" t="s">
        <v>472</v>
      </c>
      <c r="O1789" s="10">
        <v>2009</v>
      </c>
    </row>
    <row r="1790" spans="4:15" s="9" customFormat="1" ht="12.75">
      <c r="D1790" s="255" t="s">
        <v>566</v>
      </c>
      <c r="H1790" s="77">
        <v>4852498</v>
      </c>
      <c r="I1790" s="77"/>
      <c r="J1790" s="77"/>
      <c r="L1790" s="198">
        <v>499</v>
      </c>
      <c r="M1790" s="10" t="s">
        <v>567</v>
      </c>
      <c r="N1790" s="198" t="s">
        <v>472</v>
      </c>
      <c r="O1790" s="10">
        <v>2014</v>
      </c>
    </row>
    <row r="1791" spans="2:15" s="9" customFormat="1" ht="12.75">
      <c r="B1791" s="9" t="s">
        <v>525</v>
      </c>
      <c r="C1791" s="9" t="s">
        <v>522</v>
      </c>
      <c r="D1791" s="9" t="s">
        <v>568</v>
      </c>
      <c r="H1791" s="77">
        <v>4852509</v>
      </c>
      <c r="I1791" s="77"/>
      <c r="J1791" s="77"/>
      <c r="L1791" s="9">
        <v>510</v>
      </c>
      <c r="M1791" s="13" t="s">
        <v>569</v>
      </c>
      <c r="N1791" s="9" t="s">
        <v>472</v>
      </c>
      <c r="O1791" s="10">
        <v>2009</v>
      </c>
    </row>
    <row r="1792" spans="4:15" s="9" customFormat="1" ht="12.75">
      <c r="D1792" s="9" t="s">
        <v>570</v>
      </c>
      <c r="H1792" s="77">
        <v>4852511</v>
      </c>
      <c r="I1792" s="77"/>
      <c r="J1792" s="77"/>
      <c r="L1792" s="198">
        <v>512</v>
      </c>
      <c r="M1792" s="10" t="s">
        <v>571</v>
      </c>
      <c r="N1792" s="198" t="s">
        <v>472</v>
      </c>
      <c r="O1792" s="10"/>
    </row>
    <row r="1793" spans="4:15" s="9" customFormat="1" ht="12.75">
      <c r="D1793" s="9" t="s">
        <v>572</v>
      </c>
      <c r="H1793" s="72">
        <v>4852514</v>
      </c>
      <c r="I1793" s="72"/>
      <c r="J1793" s="72"/>
      <c r="L1793" s="9">
        <v>515</v>
      </c>
      <c r="M1793" s="13" t="s">
        <v>573</v>
      </c>
      <c r="N1793" s="9" t="s">
        <v>472</v>
      </c>
      <c r="O1793" s="10">
        <v>2008</v>
      </c>
    </row>
    <row r="1794" spans="4:15" s="9" customFormat="1" ht="12.75">
      <c r="D1794" s="9" t="s">
        <v>574</v>
      </c>
      <c r="H1794" s="72">
        <v>4852531</v>
      </c>
      <c r="I1794" s="72"/>
      <c r="J1794" s="72"/>
      <c r="L1794" s="9">
        <v>532</v>
      </c>
      <c r="M1794" s="13">
        <v>2008</v>
      </c>
      <c r="N1794" s="9" t="s">
        <v>472</v>
      </c>
      <c r="O1794" s="10">
        <v>2009</v>
      </c>
    </row>
    <row r="1795" spans="4:15" s="9" customFormat="1" ht="12.75">
      <c r="D1795" s="9" t="s">
        <v>575</v>
      </c>
      <c r="H1795" s="72">
        <v>4852544</v>
      </c>
      <c r="I1795" s="72"/>
      <c r="J1795" s="72"/>
      <c r="L1795" s="198">
        <v>545</v>
      </c>
      <c r="M1795" s="10" t="s">
        <v>515</v>
      </c>
      <c r="N1795" s="198" t="s">
        <v>472</v>
      </c>
      <c r="O1795" s="10">
        <v>2010</v>
      </c>
    </row>
    <row r="1796" spans="4:15" s="9" customFormat="1" ht="12.75">
      <c r="D1796" s="9" t="s">
        <v>576</v>
      </c>
      <c r="H1796" s="37">
        <v>4852546</v>
      </c>
      <c r="I1796" s="37"/>
      <c r="L1796" s="9">
        <v>547</v>
      </c>
      <c r="M1796" s="10" t="s">
        <v>515</v>
      </c>
      <c r="N1796" s="9" t="s">
        <v>472</v>
      </c>
      <c r="O1796" s="10">
        <v>2009</v>
      </c>
    </row>
    <row r="1797" spans="4:15" s="9" customFormat="1" ht="12.75">
      <c r="D1797" s="198" t="s">
        <v>577</v>
      </c>
      <c r="H1797" s="37">
        <v>4852548</v>
      </c>
      <c r="I1797" s="37"/>
      <c r="L1797" s="198">
        <v>549</v>
      </c>
      <c r="M1797" s="10" t="s">
        <v>578</v>
      </c>
      <c r="N1797" s="198" t="s">
        <v>472</v>
      </c>
      <c r="O1797" s="10">
        <v>2010</v>
      </c>
    </row>
    <row r="1798" spans="4:15" s="9" customFormat="1" ht="12.75">
      <c r="D1798" s="198" t="s">
        <v>579</v>
      </c>
      <c r="H1798" s="37">
        <v>4852553</v>
      </c>
      <c r="I1798" s="37"/>
      <c r="L1798" s="198">
        <v>554</v>
      </c>
      <c r="M1798" s="13" t="s">
        <v>578</v>
      </c>
      <c r="N1798" s="198" t="s">
        <v>472</v>
      </c>
      <c r="O1798" s="10">
        <v>2010</v>
      </c>
    </row>
    <row r="1799" spans="4:15" s="9" customFormat="1" ht="12.75">
      <c r="D1799" s="198" t="s">
        <v>580</v>
      </c>
      <c r="H1799" s="37">
        <v>4852554</v>
      </c>
      <c r="I1799" s="37"/>
      <c r="L1799" s="198">
        <v>555</v>
      </c>
      <c r="M1799" s="10" t="s">
        <v>578</v>
      </c>
      <c r="N1799" s="198" t="s">
        <v>472</v>
      </c>
      <c r="O1799" s="10">
        <v>2010</v>
      </c>
    </row>
    <row r="1800" spans="4:15" s="9" customFormat="1" ht="12.75">
      <c r="D1800" s="9" t="s">
        <v>581</v>
      </c>
      <c r="H1800" s="37">
        <v>4852555</v>
      </c>
      <c r="I1800" s="37"/>
      <c r="L1800" s="198">
        <v>556</v>
      </c>
      <c r="M1800" s="10" t="s">
        <v>582</v>
      </c>
      <c r="N1800" s="198" t="s">
        <v>472</v>
      </c>
      <c r="O1800" s="10">
        <v>2010</v>
      </c>
    </row>
    <row r="1801" spans="4:15" s="9" customFormat="1" ht="12.75">
      <c r="D1801" s="198" t="s">
        <v>583</v>
      </c>
      <c r="H1801" s="37">
        <v>4852557</v>
      </c>
      <c r="I1801" s="37"/>
      <c r="L1801" s="198">
        <v>558</v>
      </c>
      <c r="M1801" s="13" t="s">
        <v>582</v>
      </c>
      <c r="N1801" s="198" t="s">
        <v>472</v>
      </c>
      <c r="O1801" s="10">
        <v>2010</v>
      </c>
    </row>
    <row r="1802" spans="4:15" ht="12.75">
      <c r="D1802" s="198" t="s">
        <v>584</v>
      </c>
      <c r="H1802" s="209">
        <v>4852558</v>
      </c>
      <c r="L1802" s="198">
        <v>559</v>
      </c>
      <c r="M1802" s="210" t="s">
        <v>582</v>
      </c>
      <c r="N1802" s="198" t="s">
        <v>472</v>
      </c>
      <c r="O1802" s="1">
        <v>2010</v>
      </c>
    </row>
    <row r="1803" spans="4:15" ht="12.75">
      <c r="D1803" s="198" t="s">
        <v>585</v>
      </c>
      <c r="H1803" s="209">
        <v>4852565</v>
      </c>
      <c r="L1803" s="198">
        <v>566</v>
      </c>
      <c r="M1803" s="210" t="s">
        <v>586</v>
      </c>
      <c r="N1803" s="198" t="s">
        <v>472</v>
      </c>
      <c r="O1803" s="1">
        <v>2010</v>
      </c>
    </row>
    <row r="1804" spans="4:15" ht="12.75">
      <c r="D1804" s="198" t="s">
        <v>587</v>
      </c>
      <c r="H1804" s="209">
        <v>4852566</v>
      </c>
      <c r="L1804" s="198">
        <v>567</v>
      </c>
      <c r="M1804" s="1" t="s">
        <v>588</v>
      </c>
      <c r="N1804" s="198" t="s">
        <v>472</v>
      </c>
      <c r="O1804" s="1">
        <v>2010</v>
      </c>
    </row>
    <row r="1805" spans="4:15" ht="12.75">
      <c r="D1805" s="198" t="s">
        <v>589</v>
      </c>
      <c r="H1805" s="209">
        <v>4852573</v>
      </c>
      <c r="L1805" s="198">
        <v>574</v>
      </c>
      <c r="M1805" s="1" t="s">
        <v>590</v>
      </c>
      <c r="N1805" s="198" t="s">
        <v>472</v>
      </c>
      <c r="O1805" s="1">
        <v>2010</v>
      </c>
    </row>
    <row r="1806" spans="4:15" ht="12.75">
      <c r="D1806" s="198" t="s">
        <v>591</v>
      </c>
      <c r="H1806" s="209">
        <v>4852575</v>
      </c>
      <c r="L1806" s="198">
        <v>576</v>
      </c>
      <c r="M1806" s="1" t="s">
        <v>592</v>
      </c>
      <c r="N1806" s="198" t="s">
        <v>472</v>
      </c>
      <c r="O1806" s="1">
        <v>2010</v>
      </c>
    </row>
    <row r="1807" spans="4:15" ht="12.75">
      <c r="D1807" s="198" t="s">
        <v>593</v>
      </c>
      <c r="H1807" s="209">
        <v>4852577</v>
      </c>
      <c r="L1807" s="198">
        <v>578</v>
      </c>
      <c r="M1807" s="1" t="s">
        <v>594</v>
      </c>
      <c r="N1807" s="198" t="s">
        <v>472</v>
      </c>
      <c r="O1807" s="1">
        <v>2010</v>
      </c>
    </row>
    <row r="1808" spans="4:15" ht="12.75">
      <c r="D1808" s="198" t="s">
        <v>595</v>
      </c>
      <c r="H1808" s="209">
        <v>4852580</v>
      </c>
      <c r="L1808" s="198">
        <v>581</v>
      </c>
      <c r="M1808" s="210" t="s">
        <v>596</v>
      </c>
      <c r="N1808" s="198" t="s">
        <v>472</v>
      </c>
      <c r="O1808" s="1">
        <v>2010</v>
      </c>
    </row>
    <row r="1809" spans="4:15" ht="12.75">
      <c r="D1809" s="198" t="s">
        <v>597</v>
      </c>
      <c r="H1809" s="209">
        <v>4852586</v>
      </c>
      <c r="L1809" s="198"/>
      <c r="M1809" s="210"/>
      <c r="N1809" s="198"/>
      <c r="O1809" s="1">
        <v>2016</v>
      </c>
    </row>
    <row r="1810" spans="4:15" ht="12.75">
      <c r="D1810" s="198" t="s">
        <v>598</v>
      </c>
      <c r="G1810" t="s">
        <v>166</v>
      </c>
      <c r="H1810" s="209">
        <v>4852600</v>
      </c>
      <c r="L1810" s="198">
        <v>601</v>
      </c>
      <c r="M1810" s="1" t="s">
        <v>599</v>
      </c>
      <c r="N1810" s="198" t="s">
        <v>472</v>
      </c>
      <c r="O1810" s="1">
        <v>2010</v>
      </c>
    </row>
    <row r="1811" spans="4:15" ht="12.75">
      <c r="D1811" s="198" t="s">
        <v>600</v>
      </c>
      <c r="G1811" t="s">
        <v>166</v>
      </c>
      <c r="H1811" s="209">
        <v>4852606</v>
      </c>
      <c r="L1811" s="198">
        <v>607</v>
      </c>
      <c r="M1811" s="210" t="s">
        <v>601</v>
      </c>
      <c r="N1811" s="198" t="s">
        <v>472</v>
      </c>
      <c r="O1811" s="1">
        <v>2010</v>
      </c>
    </row>
    <row r="1812" spans="4:15" ht="12.75">
      <c r="D1812" s="198"/>
      <c r="G1812" t="s">
        <v>166</v>
      </c>
      <c r="H1812" s="209">
        <v>4852614</v>
      </c>
      <c r="L1812" s="198"/>
      <c r="M1812" s="1" t="s">
        <v>602</v>
      </c>
      <c r="N1812" s="198"/>
      <c r="O1812" s="1">
        <v>2012</v>
      </c>
    </row>
    <row r="1813" spans="4:15" ht="12.75">
      <c r="D1813" s="198" t="s">
        <v>603</v>
      </c>
      <c r="G1813" t="s">
        <v>166</v>
      </c>
      <c r="H1813" s="209">
        <v>4852625</v>
      </c>
      <c r="L1813" s="198">
        <v>626</v>
      </c>
      <c r="M1813" s="1" t="s">
        <v>604</v>
      </c>
      <c r="N1813" s="198" t="s">
        <v>472</v>
      </c>
      <c r="O1813" s="1">
        <v>2012</v>
      </c>
    </row>
    <row r="1814" spans="4:15" ht="12.75">
      <c r="D1814" s="198" t="s">
        <v>605</v>
      </c>
      <c r="G1814" t="s">
        <v>166</v>
      </c>
      <c r="H1814" s="209">
        <v>4852631</v>
      </c>
      <c r="L1814" s="198">
        <v>632</v>
      </c>
      <c r="M1814" s="1" t="s">
        <v>606</v>
      </c>
      <c r="N1814" s="198" t="s">
        <v>472</v>
      </c>
      <c r="O1814" s="1">
        <v>2012</v>
      </c>
    </row>
    <row r="1815" spans="2:15" ht="12.75">
      <c r="B1815" t="s">
        <v>525</v>
      </c>
      <c r="C1815" t="s">
        <v>522</v>
      </c>
      <c r="D1815" s="198" t="s">
        <v>607</v>
      </c>
      <c r="G1815" t="s">
        <v>166</v>
      </c>
      <c r="H1815" s="209">
        <v>4852638</v>
      </c>
      <c r="L1815" s="198">
        <v>639</v>
      </c>
      <c r="M1815" s="1" t="s">
        <v>608</v>
      </c>
      <c r="N1815" s="198" t="s">
        <v>472</v>
      </c>
      <c r="O1815" s="1">
        <v>2012</v>
      </c>
    </row>
    <row r="1816" spans="4:15" ht="12.75">
      <c r="D1816" s="198" t="s">
        <v>609</v>
      </c>
      <c r="G1816" t="s">
        <v>166</v>
      </c>
      <c r="H1816" s="209">
        <v>4852653</v>
      </c>
      <c r="L1816" s="198">
        <v>654</v>
      </c>
      <c r="M1816" s="210" t="s">
        <v>610</v>
      </c>
      <c r="N1816" s="198" t="s">
        <v>472</v>
      </c>
      <c r="O1816" s="1">
        <v>2020</v>
      </c>
    </row>
    <row r="1817" spans="4:15" ht="12.75">
      <c r="D1817" s="198" t="s">
        <v>611</v>
      </c>
      <c r="H1817" s="209">
        <v>4852678</v>
      </c>
      <c r="L1817" s="198">
        <v>679</v>
      </c>
      <c r="M1817" s="210" t="s">
        <v>612</v>
      </c>
      <c r="N1817" s="198" t="s">
        <v>472</v>
      </c>
      <c r="O1817" s="1">
        <v>2012</v>
      </c>
    </row>
    <row r="1818" spans="4:15" ht="12.75">
      <c r="D1818" s="198" t="s">
        <v>613</v>
      </c>
      <c r="H1818" s="209">
        <v>4852690</v>
      </c>
      <c r="L1818" s="198">
        <v>691</v>
      </c>
      <c r="M1818" s="1" t="s">
        <v>614</v>
      </c>
      <c r="N1818" s="198" t="s">
        <v>472</v>
      </c>
      <c r="O1818" s="1">
        <v>2016</v>
      </c>
    </row>
    <row r="1819" spans="4:15" ht="12.75">
      <c r="D1819" s="198" t="s">
        <v>615</v>
      </c>
      <c r="H1819" s="209">
        <v>4852695</v>
      </c>
      <c r="L1819" s="198">
        <v>696</v>
      </c>
      <c r="M1819" s="210" t="s">
        <v>616</v>
      </c>
      <c r="N1819" s="198" t="s">
        <v>472</v>
      </c>
      <c r="O1819" s="1">
        <v>2012</v>
      </c>
    </row>
    <row r="1820" spans="4:15" ht="12.75">
      <c r="D1820" s="198" t="s">
        <v>617</v>
      </c>
      <c r="H1820" s="209">
        <v>4852754</v>
      </c>
      <c r="L1820" s="198">
        <v>755</v>
      </c>
      <c r="M1820" s="210" t="s">
        <v>618</v>
      </c>
      <c r="N1820" s="198" t="s">
        <v>472</v>
      </c>
      <c r="O1820" s="1">
        <v>2012</v>
      </c>
    </row>
    <row r="1821" spans="4:15" ht="12.75">
      <c r="D1821" s="198" t="s">
        <v>619</v>
      </c>
      <c r="H1821" s="209">
        <v>4852766</v>
      </c>
      <c r="L1821" s="198">
        <v>767</v>
      </c>
      <c r="M1821" s="1" t="s">
        <v>620</v>
      </c>
      <c r="N1821" s="198" t="s">
        <v>472</v>
      </c>
      <c r="O1821" s="1">
        <v>2012</v>
      </c>
    </row>
    <row r="1822" spans="4:14" ht="12.75">
      <c r="D1822" s="198"/>
      <c r="H1822" s="209"/>
      <c r="L1822" s="198"/>
      <c r="N1822" s="198"/>
    </row>
    <row r="1823" spans="2:15" ht="12.75">
      <c r="B1823" t="s">
        <v>621</v>
      </c>
      <c r="C1823" t="s">
        <v>622</v>
      </c>
      <c r="D1823" s="198" t="s">
        <v>623</v>
      </c>
      <c r="H1823" s="209">
        <v>4852931</v>
      </c>
      <c r="L1823" s="264" t="s">
        <v>624</v>
      </c>
      <c r="M1823" s="1" t="s">
        <v>625</v>
      </c>
      <c r="N1823" s="198" t="s">
        <v>472</v>
      </c>
      <c r="O1823" s="1">
        <v>2020</v>
      </c>
    </row>
    <row r="1825" ht="12.75">
      <c r="A1825" t="s">
        <v>626</v>
      </c>
    </row>
    <row r="1826" ht="12.75">
      <c r="A1826" t="s">
        <v>627</v>
      </c>
    </row>
  </sheetData>
  <printOptions/>
  <pageMargins left="0.75" right="0.75" top="1" bottom="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Topp Nielsen</dc:creator>
  <cp:keywords/>
  <dc:description/>
  <cp:lastModifiedBy>Per Topp Nielsen</cp:lastModifiedBy>
  <dcterms:created xsi:type="dcterms:W3CDTF">2023-02-13T22:36:43Z</dcterms:created>
  <dcterms:modified xsi:type="dcterms:W3CDTF">2023-02-13T22:36:43Z</dcterms:modified>
  <cp:category/>
  <cp:version/>
  <cp:contentType/>
  <cp:contentStatus/>
</cp:coreProperties>
</file>